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llenium Challenge\"/>
    </mc:Choice>
  </mc:AlternateContent>
  <bookViews>
    <workbookView xWindow="240" yWindow="195" windowWidth="20115" windowHeight="7425" firstSheet="5" activeTab="5"/>
  </bookViews>
  <sheets>
    <sheet name="fire" sheetId="1" state="hidden" r:id="rId1"/>
    <sheet name="Sheet2" sheetId="2" state="hidden" r:id="rId2"/>
    <sheet name="Sheet3" sheetId="3" state="hidden" r:id="rId3"/>
    <sheet name="Sheet1" sheetId="4" state="hidden" r:id="rId4"/>
    <sheet name="2024-2025 SERVICE FUEL" sheetId="5" state="hidden" r:id="rId5"/>
    <sheet name="April-June 2024" sheetId="6" r:id="rId6"/>
  </sheets>
  <calcPr calcId="152511"/>
</workbook>
</file>

<file path=xl/calcChain.xml><?xml version="1.0" encoding="utf-8"?>
<calcChain xmlns="http://schemas.openxmlformats.org/spreadsheetml/2006/main">
  <c r="D43" i="6" l="1"/>
  <c r="D48" i="6"/>
  <c r="D64" i="6" l="1"/>
  <c r="E33" i="6" l="1"/>
  <c r="E32" i="6"/>
  <c r="E26" i="6"/>
  <c r="C20" i="6"/>
  <c r="D20" i="6"/>
  <c r="E20" i="6"/>
  <c r="B20" i="6"/>
  <c r="D28" i="6"/>
  <c r="E25" i="6"/>
  <c r="C24" i="6" l="1"/>
  <c r="D24" i="6"/>
  <c r="F30" i="3"/>
  <c r="E24" i="6"/>
  <c r="F26" i="3"/>
  <c r="E30" i="3"/>
  <c r="E34" i="6" l="1"/>
  <c r="F14" i="6" l="1"/>
  <c r="F9" i="6"/>
  <c r="F30" i="6"/>
  <c r="F31" i="6"/>
  <c r="E29" i="6" l="1"/>
  <c r="E35" i="6" s="1"/>
  <c r="F15" i="6"/>
  <c r="F16" i="6"/>
  <c r="F17" i="6"/>
  <c r="F18" i="6"/>
  <c r="F19" i="6"/>
  <c r="F7" i="6"/>
  <c r="F8" i="6"/>
  <c r="F6" i="6"/>
  <c r="E10" i="6"/>
  <c r="D25" i="6" l="1"/>
  <c r="C27" i="6"/>
  <c r="D27" i="6" s="1"/>
  <c r="E65" i="3"/>
  <c r="E64" i="3"/>
  <c r="E63" i="3"/>
  <c r="E52" i="3"/>
  <c r="F27" i="6" l="1"/>
  <c r="E60" i="3"/>
  <c r="E58" i="3"/>
  <c r="E55" i="3"/>
  <c r="B29" i="6" s="1"/>
  <c r="E48" i="3"/>
  <c r="E49" i="3"/>
  <c r="E50" i="3"/>
  <c r="E51" i="3"/>
  <c r="E53" i="3"/>
  <c r="E54" i="3"/>
  <c r="E47" i="3"/>
  <c r="D29" i="6" l="1"/>
  <c r="F29" i="6" s="1"/>
  <c r="B30" i="6"/>
  <c r="C34" i="6" l="1"/>
  <c r="C28" i="6"/>
  <c r="F28" i="6" s="1"/>
  <c r="B31" i="3"/>
  <c r="C25" i="6" s="1"/>
  <c r="B28" i="3"/>
  <c r="C28" i="3" s="1"/>
  <c r="C27" i="3"/>
  <c r="B25" i="3"/>
  <c r="C25" i="3" s="1"/>
  <c r="C19" i="3"/>
  <c r="B19" i="3"/>
  <c r="C18" i="3"/>
  <c r="C17" i="3"/>
  <c r="C15" i="3"/>
  <c r="C33" i="3" s="1"/>
  <c r="D33" i="3" s="1"/>
  <c r="C14" i="3"/>
  <c r="C13" i="3"/>
  <c r="B9" i="3"/>
  <c r="B37" i="3" s="1"/>
  <c r="C8" i="3"/>
  <c r="C7" i="3"/>
  <c r="B6" i="3"/>
  <c r="C6" i="3" s="1"/>
  <c r="C5" i="3"/>
  <c r="C4" i="3"/>
  <c r="C3" i="3"/>
  <c r="C44" i="3"/>
  <c r="C42" i="3"/>
  <c r="C41" i="3"/>
  <c r="B36" i="3"/>
  <c r="B35" i="3"/>
  <c r="B33" i="3"/>
  <c r="B32" i="3"/>
  <c r="B34" i="6" l="1"/>
  <c r="B25" i="6"/>
  <c r="F25" i="6"/>
  <c r="D37" i="3"/>
  <c r="C37" i="3"/>
  <c r="C33" i="6"/>
  <c r="C9" i="3"/>
  <c r="C32" i="6"/>
  <c r="F32" i="6" s="1"/>
  <c r="C31" i="3"/>
  <c r="D31" i="3" s="1"/>
  <c r="D34" i="6"/>
  <c r="F34" i="6" s="1"/>
  <c r="B28" i="6"/>
  <c r="C36" i="3"/>
  <c r="D36" i="3" s="1"/>
  <c r="C35" i="3"/>
  <c r="D35" i="3" s="1"/>
  <c r="C32" i="3"/>
  <c r="D32" i="3" s="1"/>
  <c r="C34" i="3"/>
  <c r="B34" i="3"/>
  <c r="C10" i="6"/>
  <c r="D10" i="6"/>
  <c r="B10" i="6"/>
  <c r="B33" i="6" l="1"/>
  <c r="B24" i="6"/>
  <c r="F24" i="6"/>
  <c r="B32" i="6"/>
  <c r="C26" i="6"/>
  <c r="D26" i="6" s="1"/>
  <c r="D34" i="3"/>
  <c r="D33" i="6"/>
  <c r="F33" i="6" s="1"/>
  <c r="F20" i="6"/>
  <c r="F10" i="6"/>
  <c r="F66" i="1"/>
  <c r="F65" i="1"/>
  <c r="F64" i="1"/>
  <c r="F63" i="1"/>
  <c r="F26" i="6" l="1"/>
  <c r="F35" i="6" s="1"/>
  <c r="C35" i="6"/>
  <c r="B26" i="6"/>
  <c r="B35" i="6" s="1"/>
  <c r="D35" i="6"/>
  <c r="C42" i="2"/>
  <c r="C44" i="2" s="1"/>
  <c r="C41" i="2"/>
  <c r="F105" i="1"/>
  <c r="F104" i="1"/>
  <c r="F103" i="1"/>
  <c r="F101" i="1"/>
  <c r="E102" i="1"/>
  <c r="F102" i="1" s="1"/>
  <c r="F100" i="1"/>
  <c r="D99" i="1"/>
  <c r="F99" i="1"/>
  <c r="D98" i="1"/>
  <c r="F98" i="1"/>
  <c r="E96" i="1"/>
  <c r="E95" i="1"/>
  <c r="D67" i="1"/>
  <c r="F54" i="1"/>
  <c r="F55" i="1"/>
  <c r="F56" i="1"/>
  <c r="F57" i="1"/>
  <c r="F58" i="1"/>
  <c r="F59" i="1"/>
  <c r="F60" i="1"/>
  <c r="F61" i="1"/>
  <c r="F62" i="1"/>
  <c r="F53" i="1"/>
  <c r="K13" i="1"/>
  <c r="L5" i="1"/>
  <c r="L7" i="1"/>
  <c r="L8" i="1"/>
  <c r="L9" i="1"/>
  <c r="D13" i="1"/>
  <c r="F76" i="1"/>
  <c r="F75" i="1"/>
  <c r="F74" i="1"/>
  <c r="F73" i="1"/>
  <c r="F40" i="1"/>
  <c r="F38" i="1"/>
  <c r="F37" i="1"/>
  <c r="F36" i="1"/>
  <c r="F35" i="1"/>
  <c r="E35" i="1"/>
  <c r="F34" i="1"/>
  <c r="Q52" i="5"/>
  <c r="Q54" i="5" s="1"/>
  <c r="P52" i="5"/>
  <c r="P54" i="5" s="1"/>
  <c r="O52" i="5"/>
  <c r="O54" i="5" s="1"/>
  <c r="E52" i="5"/>
  <c r="E54" i="5" s="1"/>
  <c r="D52" i="5"/>
  <c r="D54" i="5" s="1"/>
  <c r="C52" i="5"/>
  <c r="C54" i="5" s="1"/>
  <c r="I47" i="5"/>
  <c r="Q45" i="5"/>
  <c r="Q47" i="5" s="1"/>
  <c r="P45" i="5"/>
  <c r="P47" i="5" s="1"/>
  <c r="O45" i="5"/>
  <c r="O47" i="5" s="1"/>
  <c r="K45" i="5"/>
  <c r="K47" i="5" s="1"/>
  <c r="J45" i="5"/>
  <c r="J47" i="5" s="1"/>
  <c r="I45" i="5"/>
  <c r="E45" i="5"/>
  <c r="E47" i="5" s="1"/>
  <c r="D45" i="5"/>
  <c r="D47" i="5" s="1"/>
  <c r="C45" i="5"/>
  <c r="C47" i="5" s="1"/>
  <c r="J36" i="5"/>
  <c r="E36" i="5"/>
  <c r="Q34" i="5"/>
  <c r="Q36" i="5" s="1"/>
  <c r="P34" i="5"/>
  <c r="P36" i="5" s="1"/>
  <c r="O34" i="5"/>
  <c r="O36" i="5" s="1"/>
  <c r="R36" i="5" s="1"/>
  <c r="K34" i="5"/>
  <c r="K36" i="5" s="1"/>
  <c r="J34" i="5"/>
  <c r="I34" i="5"/>
  <c r="I36" i="5" s="1"/>
  <c r="D34" i="5"/>
  <c r="D36" i="5" s="1"/>
  <c r="C34" i="5"/>
  <c r="C36" i="5" s="1"/>
  <c r="E33" i="5"/>
  <c r="K25" i="5"/>
  <c r="Q23" i="5"/>
  <c r="Q25" i="5" s="1"/>
  <c r="P23" i="5"/>
  <c r="P25" i="5" s="1"/>
  <c r="O23" i="5"/>
  <c r="O25" i="5" s="1"/>
  <c r="K23" i="5"/>
  <c r="J23" i="5"/>
  <c r="J25" i="5" s="1"/>
  <c r="I23" i="5"/>
  <c r="I25" i="5" s="1"/>
  <c r="E23" i="5"/>
  <c r="E25" i="5" s="1"/>
  <c r="D23" i="5"/>
  <c r="D25" i="5" s="1"/>
  <c r="C23" i="5"/>
  <c r="C25" i="5" s="1"/>
  <c r="O13" i="5"/>
  <c r="E13" i="5"/>
  <c r="Q11" i="5"/>
  <c r="Q13" i="5" s="1"/>
  <c r="P11" i="5"/>
  <c r="P13" i="5" s="1"/>
  <c r="O11" i="5"/>
  <c r="K11" i="5"/>
  <c r="K13" i="5" s="1"/>
  <c r="J11" i="5"/>
  <c r="J13" i="5" s="1"/>
  <c r="I11" i="5"/>
  <c r="I13" i="5" s="1"/>
  <c r="D11" i="5"/>
  <c r="D13" i="5" s="1"/>
  <c r="C11" i="5"/>
  <c r="C13" i="5" s="1"/>
  <c r="D55" i="5" l="1"/>
  <c r="D106" i="1"/>
  <c r="F95" i="1"/>
  <c r="F106" i="1" s="1"/>
  <c r="E106" i="1"/>
  <c r="F67" i="1"/>
  <c r="R13" i="5"/>
  <c r="R25" i="5"/>
  <c r="J55" i="5"/>
  <c r="R47" i="5"/>
  <c r="I55" i="5"/>
  <c r="I2" i="1" s="1"/>
  <c r="L2" i="1" s="1"/>
  <c r="R54" i="5"/>
  <c r="O55" i="5"/>
  <c r="J2" i="1" s="1"/>
  <c r="Q55" i="5"/>
  <c r="K55" i="5"/>
  <c r="C55" i="5"/>
  <c r="H2" i="1" s="1"/>
  <c r="E55" i="5"/>
  <c r="P55" i="5"/>
  <c r="R55" i="5" l="1"/>
  <c r="J4" i="1" l="1"/>
  <c r="D36" i="2"/>
  <c r="J10" i="1" s="1"/>
  <c r="C36" i="2"/>
  <c r="I10" i="1" s="1"/>
  <c r="B36" i="2"/>
  <c r="H10" i="1" s="1"/>
  <c r="L10" i="1" s="1"/>
  <c r="D35" i="2"/>
  <c r="J11" i="1" s="1"/>
  <c r="C35" i="2"/>
  <c r="I11" i="1" s="1"/>
  <c r="B35" i="2"/>
  <c r="H11" i="1" s="1"/>
  <c r="L11" i="1" s="1"/>
  <c r="D34" i="2"/>
  <c r="D33" i="2"/>
  <c r="J12" i="1" s="1"/>
  <c r="C33" i="2"/>
  <c r="I12" i="1" s="1"/>
  <c r="B33" i="2"/>
  <c r="H12" i="1" s="1"/>
  <c r="L12" i="1" s="1"/>
  <c r="D32" i="2"/>
  <c r="J6" i="1" s="1"/>
  <c r="C32" i="2"/>
  <c r="I6" i="1" s="1"/>
  <c r="B32" i="2"/>
  <c r="H6" i="1" s="1"/>
  <c r="L6" i="1" s="1"/>
  <c r="D31" i="2"/>
  <c r="J3" i="1" s="1"/>
  <c r="C31" i="2"/>
  <c r="I3" i="1" s="1"/>
  <c r="L3" i="1" s="1"/>
  <c r="B31" i="2"/>
  <c r="H3" i="1" s="1"/>
  <c r="E28" i="2"/>
  <c r="E27" i="2"/>
  <c r="E14" i="2"/>
  <c r="E15" i="2"/>
  <c r="E16" i="2"/>
  <c r="E17" i="2"/>
  <c r="E18" i="2"/>
  <c r="E13" i="2"/>
  <c r="E10" i="2"/>
  <c r="E4" i="2"/>
  <c r="E5" i="2"/>
  <c r="E6" i="2"/>
  <c r="E7" i="2"/>
  <c r="E8" i="2"/>
  <c r="E3" i="2"/>
  <c r="D25" i="2"/>
  <c r="D28" i="2"/>
  <c r="C25" i="2"/>
  <c r="I4" i="1" s="1"/>
  <c r="C28" i="2"/>
  <c r="B25" i="2"/>
  <c r="H4" i="1" s="1"/>
  <c r="B28" i="2"/>
  <c r="D19" i="2"/>
  <c r="E19" i="2" s="1"/>
  <c r="C19" i="2"/>
  <c r="B19" i="2"/>
  <c r="D9" i="2"/>
  <c r="D37" i="2" s="1"/>
  <c r="C9" i="2"/>
  <c r="E9" i="2" s="1"/>
  <c r="B9" i="2"/>
  <c r="B37" i="2" s="1"/>
  <c r="E78" i="1"/>
  <c r="D78" i="1"/>
  <c r="F72" i="1"/>
  <c r="F77" i="1"/>
  <c r="F71" i="1"/>
  <c r="F47" i="1"/>
  <c r="F48" i="1"/>
  <c r="F44" i="1"/>
  <c r="C37" i="2" l="1"/>
  <c r="E25" i="2"/>
  <c r="B34" i="2"/>
  <c r="C34" i="2"/>
  <c r="L4" i="1"/>
  <c r="L13" i="1" s="1"/>
  <c r="F78" i="1"/>
  <c r="F17" i="1"/>
  <c r="F21" i="1" s="1"/>
</calcChain>
</file>

<file path=xl/sharedStrings.xml><?xml version="1.0" encoding="utf-8"?>
<sst xmlns="http://schemas.openxmlformats.org/spreadsheetml/2006/main" count="867" uniqueCount="339">
  <si>
    <t>DATE</t>
  </si>
  <si>
    <t>DESCRIPTION</t>
  </si>
  <si>
    <t>GL</t>
  </si>
  <si>
    <t>BUDGET</t>
  </si>
  <si>
    <t>Fire Services Cost</t>
  </si>
  <si>
    <t>Environmental Services</t>
  </si>
  <si>
    <t>Maintanance of waste Management Fleet</t>
  </si>
  <si>
    <t>Street lighting Maintanance</t>
  </si>
  <si>
    <t>Acquisition of Uniform and Protective wear</t>
  </si>
  <si>
    <t>Purchase of drug and Madical Equipment</t>
  </si>
  <si>
    <t>Personnel Drugs and medical Equipment for clinics</t>
  </si>
  <si>
    <t>Emoluments for Roards maintanance personnel</t>
  </si>
  <si>
    <t>Liquid waste management</t>
  </si>
  <si>
    <t>Service Provision Utilities</t>
  </si>
  <si>
    <t>CATEGORY</t>
  </si>
  <si>
    <t>TOTAL BUDGET FOR 2023/2024 MK</t>
  </si>
  <si>
    <t xml:space="preserve">ACTUAL COLLECTIONS </t>
  </si>
  <si>
    <t>PROPERTY RATES</t>
  </si>
  <si>
    <t>INCOME FROM MARKETS</t>
  </si>
  <si>
    <t>FEES AND CHARGES</t>
  </si>
  <si>
    <t>LICENCES AND PERMITS</t>
  </si>
  <si>
    <t>TOTAL</t>
  </si>
  <si>
    <t>GOVERNMENT TRANSFER</t>
  </si>
  <si>
    <t>Rehabilitation of City Roads</t>
  </si>
  <si>
    <t>Constituency Development Fund</t>
  </si>
  <si>
    <t>Infrustructure Development Fund</t>
  </si>
  <si>
    <t>General Resource Fund</t>
  </si>
  <si>
    <t>Water Fund</t>
  </si>
  <si>
    <t xml:space="preserve">REVENUE </t>
  </si>
  <si>
    <t>2A</t>
  </si>
  <si>
    <t>2B</t>
  </si>
  <si>
    <t>BUDGET TO COMPLETION OF PROJECTS</t>
  </si>
  <si>
    <t>PAYMENTS MADE IN 2023/2024 FINANCIAL YEAR</t>
  </si>
  <si>
    <t>CUMMURATIVE EXPENDITURES TO 31st MARCH 2024</t>
  </si>
  <si>
    <t>Construction of Newlands-Manje via Chiwembe Road</t>
  </si>
  <si>
    <t>Consruction of Michiru to Likhubula Road to Asphalt Surface</t>
  </si>
  <si>
    <t>Construction of Lali Luban acros Masauko Chipembere Highway Road</t>
  </si>
  <si>
    <t>Construction of namiwawa - Sunnyside to Asphalt surface</t>
  </si>
  <si>
    <t>Construction of Drainage System along Magalasi road</t>
  </si>
  <si>
    <t>Construction of Chipatala Avenue- Kamba Market road to asphalt surface</t>
  </si>
  <si>
    <t>Manje</t>
  </si>
  <si>
    <t>Likhubula</t>
  </si>
  <si>
    <t>Kamba</t>
  </si>
  <si>
    <t>Lubani</t>
  </si>
  <si>
    <t>Namiwawa</t>
  </si>
  <si>
    <t>Magalasi drain system</t>
  </si>
  <si>
    <t>Magalasi drainage system</t>
  </si>
  <si>
    <t>INFRASTRUCTURE DEVELOPMENT FUND</t>
  </si>
  <si>
    <t>C</t>
  </si>
  <si>
    <t>Construcion of Police Unit in Nthandizi Ward</t>
  </si>
  <si>
    <t>Rehabilitation of Mpemba 2  concrete foot bridge</t>
  </si>
  <si>
    <t>Construction of class room block at Mpingwe Primary School</t>
  </si>
  <si>
    <t xml:space="preserve">CONTRACT SUM </t>
  </si>
  <si>
    <t>Payments made in 2023/2024 financial  year</t>
  </si>
  <si>
    <t>CUMMULATIVE EXPENDITURE TO 31st MARCH 2024</t>
  </si>
  <si>
    <t>D</t>
  </si>
  <si>
    <t>WATER AND STRUCTURES FUND</t>
  </si>
  <si>
    <t>Instalation of soler powered water pump boreholein Blantyre Malabada</t>
  </si>
  <si>
    <t>Instalation of soler powered water pump borehole</t>
  </si>
  <si>
    <t>Borehole Driling at Chuma Village</t>
  </si>
  <si>
    <t>Construction of drain system on Magalasi</t>
  </si>
  <si>
    <t>salaries</t>
  </si>
  <si>
    <t>january</t>
  </si>
  <si>
    <t>streetlights</t>
  </si>
  <si>
    <t>feb</t>
  </si>
  <si>
    <t>march</t>
  </si>
  <si>
    <t>fire</t>
  </si>
  <si>
    <t>sewerage</t>
  </si>
  <si>
    <t>parks</t>
  </si>
  <si>
    <t>roads</t>
  </si>
  <si>
    <t>clinics</t>
  </si>
  <si>
    <t>refuse</t>
  </si>
  <si>
    <t>A</t>
  </si>
  <si>
    <t>B</t>
  </si>
  <si>
    <t>Waste Management</t>
  </si>
  <si>
    <t>Posting Date</t>
  </si>
  <si>
    <t>Document Type</t>
  </si>
  <si>
    <t>Entry Type</t>
  </si>
  <si>
    <t>Document No.</t>
  </si>
  <si>
    <t>Funding Type</t>
  </si>
  <si>
    <t>Pay To Name</t>
  </si>
  <si>
    <t>G/L Account No.</t>
  </si>
  <si>
    <t>Debit Amount</t>
  </si>
  <si>
    <t>Fund No.</t>
  </si>
  <si>
    <t>Description</t>
  </si>
  <si>
    <t>Credit Amount</t>
  </si>
  <si>
    <t>External Document No.</t>
  </si>
  <si>
    <t>Amount</t>
  </si>
  <si>
    <t>Activity Code</t>
  </si>
  <si>
    <t>Fund Class Code</t>
  </si>
  <si>
    <t>Ctl. Fund No.</t>
  </si>
  <si>
    <t>Internal Control No.</t>
  </si>
  <si>
    <t>Vote Code</t>
  </si>
  <si>
    <t>Costcentre Code</t>
  </si>
  <si>
    <t>Subprogramme Code</t>
  </si>
  <si>
    <t>Function Code</t>
  </si>
  <si>
    <t>Transaction Type</t>
  </si>
  <si>
    <t>Source Type</t>
  </si>
  <si>
    <t>Source No.</t>
  </si>
  <si>
    <t>Entry No.</t>
  </si>
  <si>
    <t>Bal. Account Type</t>
  </si>
  <si>
    <t>Bal. Account No.</t>
  </si>
  <si>
    <t>Budget Name Code</t>
  </si>
  <si>
    <t>Budget Type</t>
  </si>
  <si>
    <t>Payment</t>
  </si>
  <si>
    <t>Balance</t>
  </si>
  <si>
    <t>JVCR23-00261</t>
  </si>
  <si>
    <t>Normal Funding</t>
  </si>
  <si>
    <t>01B</t>
  </si>
  <si>
    <t>REVERSAL OF MISSPOSTING</t>
  </si>
  <si>
    <t>COND</t>
  </si>
  <si>
    <t>LUHANGA240408142633823</t>
  </si>
  <si>
    <t>Actual</t>
  </si>
  <si>
    <t xml:space="preserve"> </t>
  </si>
  <si>
    <t>G/L Account</t>
  </si>
  <si>
    <t>Normal</t>
  </si>
  <si>
    <t>Initial Entry</t>
  </si>
  <si>
    <t>JVCR23-00260</t>
  </si>
  <si>
    <t>BEING YEAR END ADJUSTMENTS</t>
  </si>
  <si>
    <t>UNCOND</t>
  </si>
  <si>
    <t>LUHANGA24040809122775</t>
  </si>
  <si>
    <t>Vendor</t>
  </si>
  <si>
    <t>FM-V02221</t>
  </si>
  <si>
    <t>Invoice</t>
  </si>
  <si>
    <t>PPI13672</t>
  </si>
  <si>
    <t>General Service of BQ 8522</t>
  </si>
  <si>
    <t>APHIRI240124125851677</t>
  </si>
  <si>
    <t>FM-V03688</t>
  </si>
  <si>
    <t>JVCR21-00254</t>
  </si>
  <si>
    <t>motor vehicle expenses (Ext)</t>
  </si>
  <si>
    <t>LUHANGA240205105337472</t>
  </si>
  <si>
    <t>Bank Account</t>
  </si>
  <si>
    <t>PPI13701</t>
  </si>
  <si>
    <t>GENERAL SERVICE FOR BT 5927</t>
  </si>
  <si>
    <t>RQ23-249378</t>
  </si>
  <si>
    <t>KANJUNJUNJU240202090742119</t>
  </si>
  <si>
    <t>FM-V01198</t>
  </si>
  <si>
    <t>JVCR 23-000401</t>
  </si>
  <si>
    <t>Reversal of stale chq #007559</t>
  </si>
  <si>
    <t>MALIRO240307151138292</t>
  </si>
  <si>
    <t>PPI13708</t>
  </si>
  <si>
    <t>General Service of NE 3471</t>
  </si>
  <si>
    <t>APHIRI240209162050675</t>
  </si>
  <si>
    <t>FM-V01405</t>
  </si>
  <si>
    <t>PPI13709</t>
  </si>
  <si>
    <t>General Service of NS 8895</t>
  </si>
  <si>
    <t>APHIRI240209161859636</t>
  </si>
  <si>
    <t>PPI13710</t>
  </si>
  <si>
    <t>General Service of NE 3467</t>
  </si>
  <si>
    <t>APHIRI240209161739098</t>
  </si>
  <si>
    <t>PPI13711</t>
  </si>
  <si>
    <t>APHIRI240209161606928</t>
  </si>
  <si>
    <t>PPI13712</t>
  </si>
  <si>
    <t>General Service of BU 2854</t>
  </si>
  <si>
    <t>APHIRI240209161426665</t>
  </si>
  <si>
    <t>PPI13713</t>
  </si>
  <si>
    <t>General Service of NS 8894</t>
  </si>
  <si>
    <t>APHIRI240209161252317</t>
  </si>
  <si>
    <t>PPI13714</t>
  </si>
  <si>
    <t>General Service of NE 3466</t>
  </si>
  <si>
    <t>APHIRI240209161120225</t>
  </si>
  <si>
    <t>PPI13715</t>
  </si>
  <si>
    <t>General Service of NE 3472</t>
  </si>
  <si>
    <t>APHIRI240209160948596</t>
  </si>
  <si>
    <t>RQ23-249422</t>
  </si>
  <si>
    <t>ZAKAZAKA JUDITH</t>
  </si>
  <si>
    <t>Pettycash Reimbursement - Vehicles Repair</t>
  </si>
  <si>
    <t>MALIRO240209093754662</t>
  </si>
  <si>
    <t>PPI13737</t>
  </si>
  <si>
    <t>General Service of BT 2</t>
  </si>
  <si>
    <t>APHIRI240214144206257</t>
  </si>
  <si>
    <t>RQ23-249470</t>
  </si>
  <si>
    <t>Pettycash Reimbursement - Vehicles mainteinance</t>
  </si>
  <si>
    <t>GWEDEZA240215151429171</t>
  </si>
  <si>
    <t>RQ23-249578</t>
  </si>
  <si>
    <t>Pettycash Reimbursement - Vehicle mainteinance</t>
  </si>
  <si>
    <t>GWEDEZA240229153758861</t>
  </si>
  <si>
    <t>PPI13766</t>
  </si>
  <si>
    <t>APHIRI240307112900751</t>
  </si>
  <si>
    <t>BEING YEAR END ADJUSTMENT</t>
  </si>
  <si>
    <t>LUHANGA240408091328877</t>
  </si>
  <si>
    <t>FM-V02822</t>
  </si>
  <si>
    <t>PPI13777</t>
  </si>
  <si>
    <t>Tightening suspension bolts,nut for NS 8895</t>
  </si>
  <si>
    <t>APHIRI240313142136358</t>
  </si>
  <si>
    <t>PPI13779</t>
  </si>
  <si>
    <t>General Service of BQ 9545</t>
  </si>
  <si>
    <t>APHIRI24031314301091</t>
  </si>
  <si>
    <t>FM-V03602</t>
  </si>
  <si>
    <t>PPI13780</t>
  </si>
  <si>
    <t>General Service of BQ 9915</t>
  </si>
  <si>
    <t>APHIRI240313143531847</t>
  </si>
  <si>
    <t>PPI13781</t>
  </si>
  <si>
    <t>General Service of BQ 9564</t>
  </si>
  <si>
    <t>APHIRI240313143927423</t>
  </si>
  <si>
    <t>RQ23-249670</t>
  </si>
  <si>
    <t>MALIRO240314144139258</t>
  </si>
  <si>
    <t>PPI13791</t>
  </si>
  <si>
    <t>Excess repairs of NS 8895</t>
  </si>
  <si>
    <t>APHIRI240320112756194</t>
  </si>
  <si>
    <t>FM-V03762</t>
  </si>
  <si>
    <t>PPI13799</t>
  </si>
  <si>
    <t>GENERAL SERVICE FOR MG 179AD</t>
  </si>
  <si>
    <t>KANJUNJUNJU240327105704986</t>
  </si>
  <si>
    <t>JVCR21-00278</t>
  </si>
  <si>
    <t>Motor Vehicle maintenance</t>
  </si>
  <si>
    <t>LUHANGA240404105336639</t>
  </si>
  <si>
    <t>JVCR21-00260</t>
  </si>
  <si>
    <t>LUHANGA240402142550495</t>
  </si>
  <si>
    <t>FM-V01091</t>
  </si>
  <si>
    <t>being year end edjustments</t>
  </si>
  <si>
    <t>LUHANGA240405090244008</t>
  </si>
  <si>
    <t>LUHANGA240402164640652</t>
  </si>
  <si>
    <t>LUHANGA240405091704576</t>
  </si>
  <si>
    <t>JVCR23-00352</t>
  </si>
  <si>
    <t>Reversal of 2022/23 Accruelled expenses</t>
  </si>
  <si>
    <t>PKAZEMBE240410142924223</t>
  </si>
  <si>
    <t>Totals</t>
  </si>
  <si>
    <t>WEEK 1</t>
  </si>
  <si>
    <t>HEALTH</t>
  </si>
  <si>
    <t>FIRE</t>
  </si>
  <si>
    <t>STREET LIGHT</t>
  </si>
  <si>
    <t>ST</t>
  </si>
  <si>
    <t>ENGINEERING</t>
  </si>
  <si>
    <t>MONDAY</t>
  </si>
  <si>
    <t>LITRES</t>
  </si>
  <si>
    <t>TUESDAY</t>
  </si>
  <si>
    <t>WEDSDAY</t>
  </si>
  <si>
    <t>THURDAY</t>
  </si>
  <si>
    <t>FRIDAY</t>
  </si>
  <si>
    <t>SARTUDAY</t>
  </si>
  <si>
    <t>SUNDAY</t>
  </si>
  <si>
    <t>TOTAL LITRES</t>
  </si>
  <si>
    <t xml:space="preserve">PRICE </t>
  </si>
  <si>
    <t>PRICE</t>
  </si>
  <si>
    <t>TOTALS</t>
  </si>
  <si>
    <t>WEEK 2</t>
  </si>
  <si>
    <t>PRICE /L</t>
  </si>
  <si>
    <t>WEEK 3</t>
  </si>
  <si>
    <t>WEEK 4</t>
  </si>
  <si>
    <t>WEEK 5</t>
  </si>
  <si>
    <t>WESDAY</t>
  </si>
  <si>
    <t>Boreholr drilling mbayani</t>
  </si>
  <si>
    <t>Drilling and Rehab of Borehole in BT City Central</t>
  </si>
  <si>
    <t>Boreholre drilling Chipendo village</t>
  </si>
  <si>
    <t>Drilling and Rehab of Borehole in BT Kabula</t>
  </si>
  <si>
    <t>CITY ROADS EXPENDITURE ( FINANCIAL YEAR 2023/2024</t>
  </si>
  <si>
    <t>Rehab.of Timber foot bridge in Nyambadwe ward</t>
  </si>
  <si>
    <t>Rehab.of Mpembu 2 Concrete Foot Bridge in Makata W</t>
  </si>
  <si>
    <t>Const.of Box Culvert in Gamulani Ward</t>
  </si>
  <si>
    <t>Const.of Mkwezalamba Concr Ft Brdg in Matope Ward</t>
  </si>
  <si>
    <t>Rehab.of Timber Ft Brdg in Namalimwe Ward</t>
  </si>
  <si>
    <t>Local Const.Materials for 2 Timber Brdg in BT City</t>
  </si>
  <si>
    <t>Protection works at Michiru Rd in Chilomoni Ward</t>
  </si>
  <si>
    <t>Protection Works at Poly Vlg in Limbe Central Ward</t>
  </si>
  <si>
    <t>CUMULATIVE EXPENDITURES FOR 2023/2024</t>
  </si>
  <si>
    <t>CUMULATIVE EXPENDITURES TO DATE</t>
  </si>
  <si>
    <t>CONSTITUENCE DEVELOPMENT FUND</t>
  </si>
  <si>
    <t>Contract Sum</t>
  </si>
  <si>
    <t>Construction of Chisombezi concrete foot bridge in Bangwe</t>
  </si>
  <si>
    <t>Construction  manase to Kumunda concrete pad and Bt South</t>
  </si>
  <si>
    <t>Installation of soler powered  water pump in Bt Malabada</t>
  </si>
  <si>
    <t>Construction of Shawa Concrete Bridge in Bt City South Constituance</t>
  </si>
  <si>
    <t>Installation of Soller powered Pump in  Bt Malabada</t>
  </si>
  <si>
    <t>Construction of Kachere Fargo Foot Bridge</t>
  </si>
  <si>
    <t>Rehabilitation of Mpembi 1 concrete bridge in Malabada consituance</t>
  </si>
  <si>
    <t>Construction of NdirandeCDSS  crassroom block</t>
  </si>
  <si>
    <t>Rehabilitation of M'bawa concrete foot bridge in Bt Malabada constituance</t>
  </si>
  <si>
    <t>Grading Namiwawa primary school ground</t>
  </si>
  <si>
    <t>Construction of Chimseu concrete pad</t>
  </si>
  <si>
    <t>Construction of Chinupule concrete bridge</t>
  </si>
  <si>
    <t>Crassroom block Nzamba Primary School</t>
  </si>
  <si>
    <t>Construction of concrete bridge in Bt City Central</t>
  </si>
  <si>
    <t>Concrete pad at Zidebe in Bt City Central</t>
  </si>
  <si>
    <t>Contruction of Manase clinic</t>
  </si>
  <si>
    <t>Water Kiosk at Gara in Manase</t>
  </si>
  <si>
    <t>Namatete concrete bridge</t>
  </si>
  <si>
    <t>Protection works for Chipilon bridge</t>
  </si>
  <si>
    <t>Construction of Chinagwa box curvet</t>
  </si>
  <si>
    <t>Construction of Mangweni foot bridge</t>
  </si>
  <si>
    <t>Fuel for road grading in Chilomoni Ward</t>
  </si>
  <si>
    <t>Local Const.Materials for 2 Timber Bridge Bt Central</t>
  </si>
  <si>
    <t>Construction of concrete pad at Green Corner Ward</t>
  </si>
  <si>
    <t>Construction of Mkulimba foot bridge in Soche west ward</t>
  </si>
  <si>
    <t>BLANTYRE CITY COUNCIL</t>
  </si>
  <si>
    <t>apri;l</t>
  </si>
  <si>
    <t>may</t>
  </si>
  <si>
    <t>SERVICE DELIVERY REPORT 2024 - 2025 FINANCIAL YEAR</t>
  </si>
  <si>
    <t>water</t>
  </si>
  <si>
    <t>sewege</t>
  </si>
  <si>
    <t>electricity</t>
  </si>
  <si>
    <t>clinic</t>
  </si>
  <si>
    <t>RATION</t>
  </si>
  <si>
    <t>utilities and ration</t>
  </si>
  <si>
    <t>unit</t>
  </si>
  <si>
    <t>frequency</t>
  </si>
  <si>
    <t>fuel</t>
  </si>
  <si>
    <t>health</t>
  </si>
  <si>
    <t>price</t>
  </si>
  <si>
    <t>liters per month</t>
  </si>
  <si>
    <t>Maintanance of waste Management Fleet-fuel</t>
  </si>
  <si>
    <t>Education, Youth and Sports</t>
  </si>
  <si>
    <t>APRIL EXPENDITURES</t>
  </si>
  <si>
    <t>MAY EXPENDITURES</t>
  </si>
  <si>
    <t>JUNE EXPENDITURES</t>
  </si>
  <si>
    <t xml:space="preserve">CUMULATIVE EXPENDITURES </t>
  </si>
  <si>
    <t>Property Rates</t>
  </si>
  <si>
    <t>Income from Markets</t>
  </si>
  <si>
    <t>Fees and Service Charges</t>
  </si>
  <si>
    <t>Licence and Permits</t>
  </si>
  <si>
    <t>DISCRIPTION OF PROJECTS</t>
  </si>
  <si>
    <t>Pothole patching and associated routine works in Limbe Central Ward</t>
  </si>
  <si>
    <t>Pothole patching and associated routine maintenance works in Nyambadwe Ward</t>
  </si>
  <si>
    <t>Pothole patching and associated routine maintenance works in Soche East Ward</t>
  </si>
  <si>
    <t>Reshaping and associated drainage works of Mwamadi via Dezeti to Mpingwe road</t>
  </si>
  <si>
    <t xml:space="preserve">Reshaping and associated drainage works of Mulunguzi primary school to Mboni via four ways </t>
  </si>
  <si>
    <t>Reshaping and associated drainage works of Chisapi to Walini road</t>
  </si>
  <si>
    <t>Reshaping and associated drainage works of Zambezi to Zuze road</t>
  </si>
  <si>
    <t xml:space="preserve">Reshaping and associated routine maintenance works of Somanje via Roman Catholic to Chilobwe </t>
  </si>
  <si>
    <t>Reshaping and associated routine maintenance works of Malaysia to Bagdad</t>
  </si>
  <si>
    <t xml:space="preserve">Reshaping and associated routine maintenance works of Matayala to Msikawanjala </t>
  </si>
  <si>
    <t>Upgrading of selected Manja access roads (1.3km) to asphalt surface in Blantyre city</t>
  </si>
  <si>
    <t>Total</t>
  </si>
  <si>
    <t>Rehabilitation of Mibawa Minibus terminal</t>
  </si>
  <si>
    <t>Rehabilitation of Pafumbi Minbus terminal</t>
  </si>
  <si>
    <t>Construction of Manja access road</t>
  </si>
  <si>
    <t>APRIL GVT. FUNDING</t>
  </si>
  <si>
    <t>MAY GVT. FUNDING</t>
  </si>
  <si>
    <t>JUNE GVT. FUNDING</t>
  </si>
  <si>
    <t xml:space="preserve">CUMULATIVE GVT.  FUNDING </t>
  </si>
  <si>
    <t>DIRECT SERVICE EXPENDITURES</t>
  </si>
  <si>
    <t>2024-2025 CITY ROADS BUDGET</t>
  </si>
  <si>
    <t>2024-2025 INFRASTRUCTURE DEVELOPMENT FUND</t>
  </si>
  <si>
    <t xml:space="preserve">2024-2025 APPROVED PROJECTS </t>
  </si>
  <si>
    <t>APRIL COLLECIONS</t>
  </si>
  <si>
    <t>MAY COLLECTIONS</t>
  </si>
  <si>
    <t>JUNE COLLECTIONS</t>
  </si>
  <si>
    <t>CUMULATIVE COLLECTIONS</t>
  </si>
  <si>
    <t xml:space="preserve">2024-2025 TOTAL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</si>
</sst>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/>
    <xf numFmtId="0" fontId="3" fillId="0" borderId="1" xfId="0" applyFont="1" applyBorder="1"/>
    <xf numFmtId="17" fontId="3" fillId="0" borderId="1" xfId="0" applyNumberFormat="1" applyFont="1" applyBorder="1"/>
    <xf numFmtId="0" fontId="3" fillId="0" borderId="0" xfId="0" applyFont="1"/>
    <xf numFmtId="0" fontId="4" fillId="0" borderId="1" xfId="0" applyFont="1" applyBorder="1"/>
    <xf numFmtId="17" fontId="4" fillId="0" borderId="1" xfId="0" applyNumberFormat="1" applyFont="1" applyBorder="1"/>
    <xf numFmtId="0" fontId="2" fillId="0" borderId="0" xfId="0" applyFont="1"/>
    <xf numFmtId="4" fontId="3" fillId="0" borderId="1" xfId="0" applyNumberFormat="1" applyFont="1" applyBorder="1"/>
    <xf numFmtId="164" fontId="2" fillId="0" borderId="0" xfId="1" applyFont="1"/>
    <xf numFmtId="164" fontId="0" fillId="0" borderId="0" xfId="1" applyFont="1"/>
    <xf numFmtId="4" fontId="5" fillId="0" borderId="0" xfId="0" applyNumberFormat="1" applyFont="1"/>
    <xf numFmtId="164" fontId="3" fillId="0" borderId="1" xfId="1" applyFont="1" applyBorder="1"/>
    <xf numFmtId="164" fontId="0" fillId="0" borderId="0" xfId="0" applyNumberFormat="1"/>
    <xf numFmtId="164" fontId="4" fillId="0" borderId="1" xfId="1" applyFont="1" applyBorder="1"/>
    <xf numFmtId="164" fontId="3" fillId="0" borderId="0" xfId="1" applyFont="1"/>
    <xf numFmtId="164" fontId="0" fillId="0" borderId="1" xfId="1" applyFont="1" applyBorder="1"/>
    <xf numFmtId="164" fontId="2" fillId="0" borderId="1" xfId="1" applyFont="1" applyBorder="1"/>
    <xf numFmtId="164" fontId="1" fillId="0" borderId="1" xfId="1" applyFont="1" applyBorder="1"/>
    <xf numFmtId="164" fontId="0" fillId="0" borderId="0" xfId="1" applyFont="1" applyFill="1" applyBorder="1"/>
    <xf numFmtId="164" fontId="0" fillId="2" borderId="0" xfId="1" applyFont="1" applyFill="1"/>
    <xf numFmtId="164" fontId="0" fillId="3" borderId="0" xfId="1" applyFont="1" applyFill="1"/>
    <xf numFmtId="0" fontId="3" fillId="0" borderId="0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17" fontId="3" fillId="0" borderId="0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0" fillId="3" borderId="0" xfId="0" applyFill="1"/>
    <xf numFmtId="0" fontId="6" fillId="0" borderId="0" xfId="0" applyFont="1"/>
    <xf numFmtId="14" fontId="6" fillId="0" borderId="0" xfId="0" applyNumberFormat="1" applyFont="1"/>
    <xf numFmtId="4" fontId="6" fillId="0" borderId="0" xfId="0" applyNumberFormat="1" applyFont="1"/>
    <xf numFmtId="3" fontId="6" fillId="0" borderId="0" xfId="0" applyNumberFormat="1" applyFont="1"/>
    <xf numFmtId="17" fontId="0" fillId="0" borderId="0" xfId="0" applyNumberFormat="1"/>
    <xf numFmtId="17" fontId="2" fillId="0" borderId="0" xfId="0" applyNumberFormat="1" applyFont="1"/>
    <xf numFmtId="0" fontId="0" fillId="0" borderId="0" xfId="0" applyFill="1"/>
    <xf numFmtId="0" fontId="0" fillId="0" borderId="0" xfId="0" applyFont="1"/>
    <xf numFmtId="0" fontId="2" fillId="0" borderId="0" xfId="0" applyFont="1" applyFill="1"/>
    <xf numFmtId="164" fontId="2" fillId="0" borderId="0" xfId="0" applyNumberFormat="1" applyFont="1"/>
    <xf numFmtId="0" fontId="7" fillId="0" borderId="0" xfId="0" applyFont="1"/>
    <xf numFmtId="164" fontId="7" fillId="0" borderId="0" xfId="0" applyNumberFormat="1" applyFont="1"/>
    <xf numFmtId="164" fontId="3" fillId="0" borderId="3" xfId="1" applyFont="1" applyBorder="1"/>
    <xf numFmtId="164" fontId="3" fillId="0" borderId="3" xfId="0" applyNumberFormat="1" applyFont="1" applyBorder="1"/>
    <xf numFmtId="164" fontId="5" fillId="0" borderId="1" xfId="1" applyFont="1" applyBorder="1"/>
    <xf numFmtId="164" fontId="2" fillId="0" borderId="1" xfId="1" applyFont="1" applyBorder="1" applyAlignment="1">
      <alignment wrapText="1"/>
    </xf>
    <xf numFmtId="17" fontId="4" fillId="0" borderId="1" xfId="0" applyNumberFormat="1" applyFont="1" applyFill="1" applyBorder="1"/>
    <xf numFmtId="0" fontId="3" fillId="0" borderId="1" xfId="0" applyFont="1" applyFill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/>
    <xf numFmtId="4" fontId="5" fillId="0" borderId="0" xfId="0" applyNumberFormat="1" applyFont="1" applyFill="1"/>
    <xf numFmtId="0" fontId="3" fillId="0" borderId="0" xfId="0" applyFont="1" applyFill="1"/>
    <xf numFmtId="164" fontId="0" fillId="0" borderId="0" xfId="1" applyFont="1" applyFill="1"/>
    <xf numFmtId="164" fontId="0" fillId="0" borderId="1" xfId="1" applyFont="1" applyFill="1" applyBorder="1"/>
    <xf numFmtId="164" fontId="2" fillId="0" borderId="1" xfId="1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Fill="1" applyBorder="1"/>
    <xf numFmtId="4" fontId="0" fillId="0" borderId="0" xfId="0" applyNumberFormat="1"/>
    <xf numFmtId="4" fontId="5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/>
    <xf numFmtId="14" fontId="4" fillId="0" borderId="1" xfId="1" applyNumberFormat="1" applyFont="1" applyBorder="1"/>
    <xf numFmtId="4" fontId="5" fillId="0" borderId="0" xfId="0" applyNumberFormat="1" applyFont="1" applyFill="1" applyBorder="1" applyAlignment="1">
      <alignment horizontal="right" vertical="center"/>
    </xf>
    <xf numFmtId="164" fontId="3" fillId="0" borderId="1" xfId="1" applyFont="1" applyFill="1" applyBorder="1"/>
    <xf numFmtId="164" fontId="4" fillId="0" borderId="1" xfId="1" applyFont="1" applyFill="1" applyBorder="1"/>
    <xf numFmtId="164" fontId="2" fillId="0" borderId="1" xfId="1" applyFont="1" applyFill="1" applyBorder="1" applyAlignment="1">
      <alignment wrapText="1"/>
    </xf>
    <xf numFmtId="164" fontId="2" fillId="0" borderId="1" xfId="0" applyNumberFormat="1" applyFont="1" applyFill="1" applyBorder="1"/>
    <xf numFmtId="164" fontId="0" fillId="0" borderId="1" xfId="0" applyNumberFormat="1" applyFont="1" applyFill="1" applyBorder="1"/>
    <xf numFmtId="164" fontId="3" fillId="0" borderId="2" xfId="1" applyFont="1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164" fontId="4" fillId="0" borderId="2" xfId="0" applyNumberFormat="1" applyFont="1" applyFill="1" applyBorder="1"/>
    <xf numFmtId="0" fontId="3" fillId="0" borderId="4" xfId="0" applyFont="1" applyBorder="1"/>
    <xf numFmtId="0" fontId="0" fillId="0" borderId="4" xfId="0" applyFill="1" applyBorder="1"/>
    <xf numFmtId="4" fontId="0" fillId="0" borderId="5" xfId="0" applyNumberFormat="1" applyFill="1" applyBorder="1"/>
    <xf numFmtId="164" fontId="0" fillId="0" borderId="4" xfId="1" applyFont="1" applyBorder="1"/>
    <xf numFmtId="164" fontId="3" fillId="0" borderId="1" xfId="0" applyNumberFormat="1" applyFont="1" applyFill="1" applyBorder="1"/>
    <xf numFmtId="164" fontId="1" fillId="0" borderId="0" xfId="1" applyFont="1" applyBorder="1"/>
    <xf numFmtId="164" fontId="0" fillId="0" borderId="0" xfId="0" applyNumberFormat="1" applyFont="1" applyFill="1" applyBorder="1"/>
    <xf numFmtId="0" fontId="0" fillId="0" borderId="0" xfId="0" applyFont="1" applyFill="1" applyBorder="1"/>
    <xf numFmtId="164" fontId="8" fillId="0" borderId="0" xfId="1" applyFont="1"/>
    <xf numFmtId="164" fontId="9" fillId="0" borderId="1" xfId="1" applyFont="1" applyFill="1" applyBorder="1"/>
    <xf numFmtId="0" fontId="10" fillId="0" borderId="0" xfId="0" applyFont="1" applyFill="1"/>
    <xf numFmtId="0" fontId="9" fillId="0" borderId="0" xfId="0" applyFont="1" applyFill="1"/>
    <xf numFmtId="164" fontId="9" fillId="0" borderId="0" xfId="1" applyFont="1" applyFill="1"/>
    <xf numFmtId="0" fontId="11" fillId="0" borderId="0" xfId="0" applyFont="1" applyFill="1"/>
    <xf numFmtId="164" fontId="9" fillId="0" borderId="0" xfId="0" applyNumberFormat="1" applyFont="1" applyFill="1"/>
    <xf numFmtId="0" fontId="10" fillId="0" borderId="1" xfId="0" applyFont="1" applyFill="1" applyBorder="1"/>
    <xf numFmtId="17" fontId="10" fillId="0" borderId="1" xfId="0" applyNumberFormat="1" applyFont="1" applyFill="1" applyBorder="1" applyAlignment="1">
      <alignment wrapText="1"/>
    </xf>
    <xf numFmtId="0" fontId="12" fillId="0" borderId="1" xfId="0" applyFont="1" applyFill="1" applyBorder="1"/>
    <xf numFmtId="164" fontId="12" fillId="0" borderId="1" xfId="1" applyFont="1" applyFill="1" applyBorder="1"/>
    <xf numFmtId="164" fontId="12" fillId="0" borderId="1" xfId="0" applyNumberFormat="1" applyFont="1" applyFill="1" applyBorder="1"/>
    <xf numFmtId="164" fontId="12" fillId="0" borderId="1" xfId="1" applyFont="1" applyFill="1" applyBorder="1" applyAlignment="1">
      <alignment horizontal="right" vertical="center"/>
    </xf>
    <xf numFmtId="164" fontId="12" fillId="0" borderId="0" xfId="1" applyFont="1" applyFill="1"/>
    <xf numFmtId="164" fontId="10" fillId="0" borderId="1" xfId="1" applyFont="1" applyFill="1" applyBorder="1"/>
    <xf numFmtId="164" fontId="11" fillId="0" borderId="1" xfId="1" applyFont="1" applyFill="1" applyBorder="1"/>
    <xf numFmtId="0" fontId="9" fillId="0" borderId="1" xfId="0" applyFont="1" applyFill="1" applyBorder="1"/>
    <xf numFmtId="164" fontId="11" fillId="0" borderId="1" xfId="1" applyFont="1" applyFill="1" applyBorder="1" applyAlignment="1">
      <alignment wrapText="1"/>
    </xf>
    <xf numFmtId="164" fontId="9" fillId="0" borderId="1" xfId="0" applyNumberFormat="1" applyFont="1" applyFill="1" applyBorder="1"/>
    <xf numFmtId="164" fontId="11" fillId="0" borderId="1" xfId="0" applyNumberFormat="1" applyFont="1" applyFill="1" applyBorder="1"/>
    <xf numFmtId="164" fontId="11" fillId="0" borderId="0" xfId="1" applyFont="1" applyFill="1" applyBorder="1"/>
    <xf numFmtId="164" fontId="11" fillId="0" borderId="0" xfId="0" applyNumberFormat="1" applyFont="1" applyFill="1" applyBorder="1"/>
    <xf numFmtId="164" fontId="11" fillId="0" borderId="0" xfId="1" applyFont="1" applyFill="1"/>
    <xf numFmtId="164" fontId="9" fillId="0" borderId="2" xfId="1" applyFont="1" applyFill="1" applyBorder="1"/>
    <xf numFmtId="0" fontId="13" fillId="0" borderId="0" xfId="0" applyFont="1"/>
    <xf numFmtId="164" fontId="13" fillId="0" borderId="0" xfId="1" applyFont="1"/>
    <xf numFmtId="164" fontId="15" fillId="0" borderId="1" xfId="1" applyFont="1" applyBorder="1"/>
    <xf numFmtId="164" fontId="13" fillId="0" borderId="1" xfId="1" applyFont="1" applyBorder="1"/>
    <xf numFmtId="164" fontId="14" fillId="0" borderId="1" xfId="1" applyFont="1" applyBorder="1"/>
    <xf numFmtId="0" fontId="15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3" fillId="0" borderId="2" xfId="0" applyFont="1" applyBorder="1" applyAlignment="1"/>
    <xf numFmtId="0" fontId="13" fillId="0" borderId="7" xfId="0" applyFont="1" applyBorder="1" applyAlignment="1"/>
    <xf numFmtId="0" fontId="13" fillId="0" borderId="6" xfId="0" applyFont="1" applyBorder="1" applyAlignment="1"/>
    <xf numFmtId="0" fontId="12" fillId="0" borderId="2" xfId="0" applyFont="1" applyFill="1" applyBorder="1" applyAlignment="1"/>
    <xf numFmtId="0" fontId="12" fillId="0" borderId="7" xfId="0" applyFont="1" applyFill="1" applyBorder="1" applyAlignment="1"/>
    <xf numFmtId="0" fontId="12" fillId="0" borderId="6" xfId="0" applyFont="1" applyFill="1" applyBorder="1" applyAlignment="1"/>
    <xf numFmtId="0" fontId="10" fillId="0" borderId="2" xfId="0" applyFont="1" applyFill="1" applyBorder="1" applyAlignment="1"/>
    <xf numFmtId="0" fontId="10" fillId="0" borderId="7" xfId="0" applyFont="1" applyFill="1" applyBorder="1" applyAlignment="1"/>
    <xf numFmtId="0" fontId="10" fillId="0" borderId="6" xfId="0" applyFont="1" applyFill="1" applyBorder="1" applyAlignment="1"/>
    <xf numFmtId="0" fontId="9" fillId="0" borderId="2" xfId="0" applyFont="1" applyFill="1" applyBorder="1" applyAlignment="1"/>
    <xf numFmtId="0" fontId="9" fillId="0" borderId="7" xfId="0" applyFont="1" applyFill="1" applyBorder="1" applyAlignment="1"/>
    <xf numFmtId="0" fontId="9" fillId="0" borderId="6" xfId="0" applyFont="1" applyFill="1" applyBorder="1" applyAlignment="1"/>
    <xf numFmtId="0" fontId="11" fillId="0" borderId="2" xfId="0" applyFont="1" applyFill="1" applyBorder="1" applyAlignment="1"/>
    <xf numFmtId="0" fontId="11" fillId="0" borderId="7" xfId="0" applyFont="1" applyFill="1" applyBorder="1" applyAlignment="1"/>
    <xf numFmtId="0" fontId="11" fillId="0" borderId="6" xfId="0" applyFont="1" applyFill="1" applyBorder="1" applyAlignment="1"/>
    <xf numFmtId="164" fontId="11" fillId="0" borderId="2" xfId="1" applyFont="1" applyFill="1" applyBorder="1" applyAlignment="1"/>
    <xf numFmtId="164" fontId="11" fillId="0" borderId="7" xfId="1" applyFont="1" applyFill="1" applyBorder="1" applyAlignment="1"/>
    <xf numFmtId="164" fontId="11" fillId="0" borderId="6" xfId="1" applyFont="1" applyFill="1" applyBorder="1" applyAlignment="1"/>
    <xf numFmtId="0" fontId="10" fillId="0" borderId="2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D1" workbookViewId="0">
      <selection activeCell="L13" sqref="L13"/>
    </sheetView>
  </sheetViews>
  <sheetFormatPr defaultRowHeight="15" x14ac:dyDescent="0.25"/>
  <cols>
    <col min="1" max="1" width="9.85546875" customWidth="1"/>
    <col min="3" max="3" width="69.140625" bestFit="1" customWidth="1"/>
    <col min="4" max="5" width="22.28515625" style="36" customWidth="1"/>
    <col min="6" max="6" width="51.42578125" style="10" customWidth="1"/>
    <col min="7" max="7" width="14.28515625" bestFit="1" customWidth="1"/>
    <col min="8" max="8" width="15.7109375" bestFit="1" customWidth="1"/>
    <col min="9" max="10" width="16.85546875" bestFit="1" customWidth="1"/>
    <col min="11" max="11" width="19.42578125" hidden="1" customWidth="1"/>
    <col min="12" max="12" width="16.85546875" style="10" bestFit="1" customWidth="1"/>
    <col min="14" max="14" width="17.85546875" style="10" customWidth="1"/>
  </cols>
  <sheetData>
    <row r="1" spans="1:14" s="7" customFormat="1" ht="45" x14ac:dyDescent="0.25">
      <c r="A1" s="5" t="s">
        <v>0</v>
      </c>
      <c r="B1" s="5" t="s">
        <v>2</v>
      </c>
      <c r="C1" s="5" t="s">
        <v>1</v>
      </c>
      <c r="D1" s="60" t="s">
        <v>3</v>
      </c>
      <c r="E1" s="46">
        <v>45200</v>
      </c>
      <c r="F1" s="65">
        <v>45231</v>
      </c>
      <c r="G1" s="6">
        <v>45261</v>
      </c>
      <c r="H1" s="6">
        <v>45292</v>
      </c>
      <c r="I1" s="6">
        <v>45323</v>
      </c>
      <c r="J1" s="6">
        <v>45352</v>
      </c>
      <c r="K1" s="7" t="s">
        <v>255</v>
      </c>
      <c r="L1" s="45" t="s">
        <v>256</v>
      </c>
      <c r="N1" s="9"/>
    </row>
    <row r="2" spans="1:14" ht="15.75" x14ac:dyDescent="0.25">
      <c r="A2" s="3"/>
      <c r="B2" s="2"/>
      <c r="C2" s="2" t="s">
        <v>74</v>
      </c>
      <c r="D2" s="67">
        <v>2029419176.9000001</v>
      </c>
      <c r="E2" s="47">
        <v>111733981.27</v>
      </c>
      <c r="F2" s="12">
        <v>123067136.92</v>
      </c>
      <c r="G2" s="2">
        <v>181394531.13999999</v>
      </c>
      <c r="H2" s="27">
        <f>69603322.81+'2024-2025 SERVICE FUEL'!C55</f>
        <v>85392172.810000002</v>
      </c>
      <c r="I2" s="27">
        <f>86322437.32+'2024-2025 SERVICE FUEL'!I55</f>
        <v>107640802.31999999</v>
      </c>
      <c r="J2" s="27">
        <f>137347156.92+'2024-2025 SERVICE FUEL'!O55</f>
        <v>154101108.91999999</v>
      </c>
      <c r="K2" s="10">
        <v>1266931582.5599999</v>
      </c>
      <c r="L2" s="16">
        <f>H2+I2+J2+K2</f>
        <v>1614065666.6099999</v>
      </c>
    </row>
    <row r="3" spans="1:14" ht="15.75" x14ac:dyDescent="0.25">
      <c r="A3" s="3"/>
      <c r="B3" s="2"/>
      <c r="C3" s="2" t="s">
        <v>4</v>
      </c>
      <c r="D3" s="67">
        <v>170681630.21000001</v>
      </c>
      <c r="E3" s="48">
        <v>38400825.619999997</v>
      </c>
      <c r="F3" s="44">
        <v>39002485.640000001</v>
      </c>
      <c r="G3" s="24">
        <v>46968835.689999998</v>
      </c>
      <c r="H3" s="16">
        <f>6664425.89+Sheet2!B31+'2024-2025 SERVICE FUEL'!D55</f>
        <v>40352943</v>
      </c>
      <c r="I3" s="16">
        <f>6307417.565+Sheet2!C31</f>
        <v>37079225.945</v>
      </c>
      <c r="J3" s="16">
        <f>5507417.565+Sheet2!D31+'2024-2025 SERVICE FUEL'!P55</f>
        <v>39461711.234999999</v>
      </c>
      <c r="K3" s="10">
        <v>223319595.16</v>
      </c>
      <c r="L3" s="16">
        <f t="shared" ref="L3:L12" si="0">H3+I3+J3+K3</f>
        <v>340213475.33999997</v>
      </c>
    </row>
    <row r="4" spans="1:14" ht="15.75" x14ac:dyDescent="0.25">
      <c r="A4" s="3"/>
      <c r="B4" s="2"/>
      <c r="C4" s="2" t="s">
        <v>5</v>
      </c>
      <c r="D4" s="67">
        <v>129875275</v>
      </c>
      <c r="E4" s="49">
        <v>10011486.07</v>
      </c>
      <c r="F4" s="44">
        <v>12881891.76</v>
      </c>
      <c r="G4" s="23">
        <v>11481591.76</v>
      </c>
      <c r="H4" s="27">
        <f>Sheet2!B6+Sheet2!B25</f>
        <v>17064437.620000001</v>
      </c>
      <c r="I4" s="27">
        <f>Sheet2!C6+Sheet2!C25+'2024-2025 SERVICE FUEL'!J55</f>
        <v>22010763.670000002</v>
      </c>
      <c r="J4" s="27">
        <f>Sheet2!D6+Sheet2!D25</f>
        <v>19346450.41</v>
      </c>
      <c r="K4" s="10">
        <v>90230973.730000004</v>
      </c>
      <c r="L4" s="16">
        <f t="shared" si="0"/>
        <v>148652625.43000001</v>
      </c>
    </row>
    <row r="5" spans="1:14" ht="15.75" x14ac:dyDescent="0.25">
      <c r="A5" s="2"/>
      <c r="B5" s="2"/>
      <c r="C5" s="2" t="s">
        <v>6</v>
      </c>
      <c r="D5" s="67">
        <v>231301638.56</v>
      </c>
      <c r="E5" s="49">
        <v>6173131.4500000002</v>
      </c>
      <c r="F5" s="44">
        <v>4931830</v>
      </c>
      <c r="G5" s="23">
        <v>7666182.6399999997</v>
      </c>
      <c r="H5" s="2"/>
      <c r="I5" s="12">
        <v>251044</v>
      </c>
      <c r="J5" s="12">
        <v>2562079</v>
      </c>
      <c r="K5" s="10">
        <v>100706902.73999999</v>
      </c>
      <c r="L5" s="16">
        <f t="shared" si="0"/>
        <v>103520025.73999999</v>
      </c>
    </row>
    <row r="6" spans="1:14" ht="15.75" x14ac:dyDescent="0.25">
      <c r="A6" s="2"/>
      <c r="B6" s="2"/>
      <c r="C6" s="2" t="s">
        <v>7</v>
      </c>
      <c r="D6" s="67">
        <v>61911969.479999997</v>
      </c>
      <c r="E6" s="48">
        <v>11654005.51</v>
      </c>
      <c r="F6" s="44">
        <v>5181737.74</v>
      </c>
      <c r="G6" s="23">
        <v>6185737.7400000002</v>
      </c>
      <c r="H6" s="12">
        <f>1100000+Sheet2!B32+'2024-2025 SERVICE FUEL'!E55</f>
        <v>6869547.7400000002</v>
      </c>
      <c r="I6" s="27">
        <f>Sheet2!C32+'2024-2025 SERVICE FUEL'!K55</f>
        <v>5737744.9399999995</v>
      </c>
      <c r="J6" s="12">
        <f>1800000+Sheet2!D32+'2024-2025 SERVICE FUEL'!Q55</f>
        <v>7606094.9399999995</v>
      </c>
      <c r="K6" s="10">
        <v>56420174.719999999</v>
      </c>
      <c r="L6" s="16">
        <f t="shared" si="0"/>
        <v>76633562.340000004</v>
      </c>
    </row>
    <row r="7" spans="1:14" ht="15.75" x14ac:dyDescent="0.25">
      <c r="A7" s="2"/>
      <c r="B7" s="2"/>
      <c r="C7" s="2" t="s">
        <v>13</v>
      </c>
      <c r="D7" s="67">
        <v>55701224.289999999</v>
      </c>
      <c r="E7" s="50">
        <v>969500</v>
      </c>
      <c r="F7" s="44">
        <v>445348.03</v>
      </c>
      <c r="G7" s="8">
        <v>1140000</v>
      </c>
      <c r="H7" s="2"/>
      <c r="I7" s="2"/>
      <c r="J7" s="2"/>
      <c r="K7" s="10">
        <v>22770602.789999999</v>
      </c>
      <c r="L7" s="16">
        <f t="shared" si="0"/>
        <v>22770602.789999999</v>
      </c>
    </row>
    <row r="8" spans="1:14" ht="15.75" x14ac:dyDescent="0.25">
      <c r="A8" s="2"/>
      <c r="B8" s="2"/>
      <c r="C8" s="2" t="s">
        <v>8</v>
      </c>
      <c r="D8" s="67">
        <v>72615705</v>
      </c>
      <c r="E8" s="48">
        <v>6991250</v>
      </c>
      <c r="F8" s="12">
        <v>0</v>
      </c>
      <c r="G8" s="23">
        <v>1319363.67</v>
      </c>
      <c r="H8" s="8">
        <v>49999</v>
      </c>
      <c r="I8" s="2">
        <v>0</v>
      </c>
      <c r="J8" s="2">
        <v>0</v>
      </c>
      <c r="K8" s="10">
        <v>43037856.170000002</v>
      </c>
      <c r="L8" s="16">
        <f t="shared" si="0"/>
        <v>43087855.170000002</v>
      </c>
    </row>
    <row r="9" spans="1:14" ht="15.75" x14ac:dyDescent="0.25">
      <c r="A9" s="2"/>
      <c r="B9" s="2"/>
      <c r="C9" s="2" t="s">
        <v>9</v>
      </c>
      <c r="D9" s="67">
        <v>10739190</v>
      </c>
      <c r="E9" s="50">
        <v>1461200</v>
      </c>
      <c r="F9" s="12">
        <v>879575.78</v>
      </c>
      <c r="G9" s="8">
        <v>2239162.4900000002</v>
      </c>
      <c r="H9" s="8">
        <v>2163527.75</v>
      </c>
      <c r="I9" s="8">
        <v>1044500</v>
      </c>
      <c r="J9" s="8">
        <v>650764.80000000005</v>
      </c>
      <c r="K9" s="10">
        <v>11371568.27</v>
      </c>
      <c r="L9" s="16">
        <f t="shared" si="0"/>
        <v>15230360.82</v>
      </c>
    </row>
    <row r="10" spans="1:14" ht="15.75" x14ac:dyDescent="0.25">
      <c r="A10" s="2"/>
      <c r="B10" s="2"/>
      <c r="C10" s="2" t="s">
        <v>10</v>
      </c>
      <c r="D10" s="67">
        <v>75826403.25</v>
      </c>
      <c r="E10" s="48">
        <v>12424494.109999999</v>
      </c>
      <c r="F10" s="44">
        <v>14927574.99</v>
      </c>
      <c r="G10" s="23">
        <v>17349149.670000002</v>
      </c>
      <c r="H10" s="27">
        <f>Sheet2!B36</f>
        <v>8276975.2200000007</v>
      </c>
      <c r="I10" s="27">
        <f>Sheet2!C36</f>
        <v>10451145.970000001</v>
      </c>
      <c r="J10" s="27">
        <f>Sheet2!D36</f>
        <v>8333462.6400000006</v>
      </c>
      <c r="K10" s="10">
        <v>92881346.689999998</v>
      </c>
      <c r="L10" s="16">
        <f t="shared" si="0"/>
        <v>119942930.52</v>
      </c>
    </row>
    <row r="11" spans="1:14" ht="15.75" x14ac:dyDescent="0.25">
      <c r="A11" s="2"/>
      <c r="B11" s="2"/>
      <c r="C11" s="2" t="s">
        <v>11</v>
      </c>
      <c r="D11" s="67">
        <v>109944867.89</v>
      </c>
      <c r="E11" s="48">
        <v>9331837.6999999993</v>
      </c>
      <c r="F11" s="44">
        <v>11566099.779999999</v>
      </c>
      <c r="G11" s="8">
        <v>48050474.93</v>
      </c>
      <c r="H11" s="80">
        <f>Sheet2!B35</f>
        <v>10628598.280000001</v>
      </c>
      <c r="I11" s="80">
        <f>Sheet2!C35</f>
        <v>11691905.329999998</v>
      </c>
      <c r="J11" s="80">
        <f>Sheet2!D35</f>
        <v>11691878.329999998</v>
      </c>
      <c r="K11" s="10">
        <v>121441276.53</v>
      </c>
      <c r="L11" s="16">
        <f t="shared" si="0"/>
        <v>155453658.47</v>
      </c>
    </row>
    <row r="12" spans="1:14" ht="15.75" x14ac:dyDescent="0.25">
      <c r="A12" s="2"/>
      <c r="B12" s="2"/>
      <c r="C12" s="2" t="s">
        <v>12</v>
      </c>
      <c r="D12" s="67">
        <v>105493164.66</v>
      </c>
      <c r="E12" s="51">
        <v>8123854.3300000001</v>
      </c>
      <c r="F12" s="42">
        <v>8631919.9499999993</v>
      </c>
      <c r="G12" s="11">
        <v>12947879.93</v>
      </c>
      <c r="H12" s="43">
        <f>Sheet2!B33+2100000</f>
        <v>8572862.620000001</v>
      </c>
      <c r="I12" s="43">
        <f>Sheet2!C33+2300000</f>
        <v>9755253.8200000003</v>
      </c>
      <c r="J12" s="43">
        <f>Sheet2!D33+2400000+3000000</f>
        <v>12855253.82</v>
      </c>
      <c r="K12" s="10">
        <v>76428269.670000002</v>
      </c>
      <c r="L12" s="16">
        <f t="shared" si="0"/>
        <v>107611639.93000001</v>
      </c>
    </row>
    <row r="13" spans="1:14" s="7" customFormat="1" ht="15.75" x14ac:dyDescent="0.25">
      <c r="A13" s="5"/>
      <c r="B13" s="5"/>
      <c r="C13" s="5" t="s">
        <v>21</v>
      </c>
      <c r="D13" s="68">
        <f>SUM(D2:D12)</f>
        <v>3053510245.2399998</v>
      </c>
      <c r="E13" s="60"/>
      <c r="F13" s="14"/>
      <c r="G13" s="5"/>
      <c r="H13" s="5"/>
      <c r="I13" s="5"/>
      <c r="J13" s="5"/>
      <c r="K13" s="64">
        <f>SUM(K2:K12)</f>
        <v>2105540149.0300002</v>
      </c>
      <c r="L13" s="17">
        <f>SUM(L2:L12)</f>
        <v>2747182403.1599998</v>
      </c>
      <c r="N13" s="9"/>
    </row>
    <row r="14" spans="1:14" x14ac:dyDescent="0.25">
      <c r="D14" s="53"/>
      <c r="E14" s="53"/>
      <c r="H14" s="61"/>
    </row>
    <row r="15" spans="1:14" x14ac:dyDescent="0.25">
      <c r="B15" t="s">
        <v>29</v>
      </c>
      <c r="C15" s="10" t="s">
        <v>28</v>
      </c>
      <c r="D15" s="54"/>
      <c r="E15" s="54"/>
      <c r="F15" s="16"/>
      <c r="H15" s="61"/>
    </row>
    <row r="16" spans="1:14" ht="30" x14ac:dyDescent="0.25">
      <c r="C16" s="17" t="s">
        <v>14</v>
      </c>
      <c r="D16" s="69" t="s">
        <v>15</v>
      </c>
      <c r="E16" s="55"/>
      <c r="F16" s="45" t="s">
        <v>16</v>
      </c>
      <c r="H16" s="61"/>
      <c r="K16" s="10"/>
    </row>
    <row r="17" spans="2:6" customFormat="1" x14ac:dyDescent="0.25">
      <c r="C17" s="16" t="s">
        <v>17</v>
      </c>
      <c r="D17" s="54">
        <v>5820541484</v>
      </c>
      <c r="E17" s="54"/>
      <c r="F17" s="16">
        <f>32500000+4606186451.5</f>
        <v>4638686451.5</v>
      </c>
    </row>
    <row r="18" spans="2:6" customFormat="1" x14ac:dyDescent="0.25">
      <c r="C18" s="16" t="s">
        <v>18</v>
      </c>
      <c r="D18" s="54">
        <v>585331690</v>
      </c>
      <c r="E18" s="56"/>
      <c r="F18" s="16">
        <v>665154230</v>
      </c>
    </row>
    <row r="19" spans="2:6" customFormat="1" x14ac:dyDescent="0.25">
      <c r="C19" s="16" t="s">
        <v>19</v>
      </c>
      <c r="D19" s="54">
        <v>3066729184</v>
      </c>
      <c r="E19" s="56"/>
      <c r="F19" s="16">
        <v>1145908399.5999999</v>
      </c>
    </row>
    <row r="20" spans="2:6" customFormat="1" x14ac:dyDescent="0.25">
      <c r="C20" s="16" t="s">
        <v>20</v>
      </c>
      <c r="D20" s="54">
        <v>1057780000</v>
      </c>
      <c r="E20" s="56"/>
      <c r="F20" s="16">
        <v>1507139877.0999999</v>
      </c>
    </row>
    <row r="21" spans="2:6" customFormat="1" x14ac:dyDescent="0.25">
      <c r="C21" s="17" t="s">
        <v>21</v>
      </c>
      <c r="D21" s="70">
        <v>10595382358</v>
      </c>
      <c r="E21" s="57"/>
      <c r="F21" s="17">
        <f>SUM(F17:F20)</f>
        <v>7956888958.2000008</v>
      </c>
    </row>
    <row r="22" spans="2:6" customFormat="1" x14ac:dyDescent="0.25">
      <c r="C22" s="1"/>
      <c r="D22" s="56"/>
      <c r="E22" s="56"/>
      <c r="F22" s="16"/>
    </row>
    <row r="23" spans="2:6" customFormat="1" x14ac:dyDescent="0.25">
      <c r="B23" t="s">
        <v>30</v>
      </c>
      <c r="C23" s="10" t="s">
        <v>22</v>
      </c>
      <c r="D23" s="53"/>
      <c r="E23" s="53"/>
      <c r="F23" s="10"/>
    </row>
    <row r="24" spans="2:6" customFormat="1" x14ac:dyDescent="0.25">
      <c r="C24" s="16"/>
      <c r="D24" s="54"/>
      <c r="E24" s="54"/>
      <c r="F24" s="16"/>
    </row>
    <row r="25" spans="2:6" customFormat="1" x14ac:dyDescent="0.25">
      <c r="C25" s="17" t="s">
        <v>14</v>
      </c>
      <c r="D25" s="55" t="s">
        <v>15</v>
      </c>
      <c r="E25" s="55"/>
      <c r="F25" s="17" t="s">
        <v>16</v>
      </c>
    </row>
    <row r="26" spans="2:6" customFormat="1" x14ac:dyDescent="0.25">
      <c r="C26" s="16" t="s">
        <v>23</v>
      </c>
      <c r="D26" s="54">
        <v>6692198428.3000002</v>
      </c>
      <c r="E26" s="54"/>
      <c r="F26" s="16">
        <v>5268924844</v>
      </c>
    </row>
    <row r="27" spans="2:6" customFormat="1" x14ac:dyDescent="0.25">
      <c r="C27" s="16" t="s">
        <v>24</v>
      </c>
      <c r="D27" s="54">
        <v>800000000</v>
      </c>
      <c r="E27" s="56"/>
      <c r="F27" s="16">
        <v>800000000</v>
      </c>
    </row>
    <row r="28" spans="2:6" customFormat="1" x14ac:dyDescent="0.25">
      <c r="C28" s="16" t="s">
        <v>25</v>
      </c>
      <c r="D28" s="54">
        <v>171234388</v>
      </c>
      <c r="E28" s="56"/>
      <c r="F28" s="16">
        <v>171234388</v>
      </c>
    </row>
    <row r="29" spans="2:6" customFormat="1" x14ac:dyDescent="0.25">
      <c r="C29" s="16" t="s">
        <v>26</v>
      </c>
      <c r="D29" s="54">
        <v>183334582</v>
      </c>
      <c r="E29" s="56"/>
      <c r="F29" s="16">
        <v>183334582</v>
      </c>
    </row>
    <row r="30" spans="2:6" customFormat="1" x14ac:dyDescent="0.25">
      <c r="C30" s="18" t="s">
        <v>27</v>
      </c>
      <c r="D30" s="71">
        <v>96000000</v>
      </c>
      <c r="E30" s="58"/>
      <c r="F30" s="18">
        <v>96000000</v>
      </c>
    </row>
    <row r="31" spans="2:6" customFormat="1" x14ac:dyDescent="0.25">
      <c r="C31" s="81"/>
      <c r="D31" s="82"/>
      <c r="E31" s="83"/>
      <c r="F31" s="81"/>
    </row>
    <row r="32" spans="2:6" customFormat="1" x14ac:dyDescent="0.25">
      <c r="B32">
        <v>3</v>
      </c>
      <c r="C32" s="9" t="s">
        <v>246</v>
      </c>
      <c r="D32" s="53"/>
      <c r="E32" s="53"/>
      <c r="F32" s="10"/>
    </row>
    <row r="33" spans="3:6" customFormat="1" x14ac:dyDescent="0.25">
      <c r="C33" s="17" t="s">
        <v>1</v>
      </c>
      <c r="D33" s="55" t="s">
        <v>31</v>
      </c>
      <c r="E33" s="55" t="s">
        <v>32</v>
      </c>
      <c r="F33" s="17" t="s">
        <v>33</v>
      </c>
    </row>
    <row r="34" spans="3:6" customFormat="1" x14ac:dyDescent="0.25">
      <c r="C34" s="16" t="s">
        <v>34</v>
      </c>
      <c r="D34" s="54">
        <v>1635220587.6300001</v>
      </c>
      <c r="E34" s="53">
        <v>811069815.98000002</v>
      </c>
      <c r="F34" s="16">
        <f>1450035193.34+E43</f>
        <v>1585371481.79</v>
      </c>
    </row>
    <row r="35" spans="3:6" customFormat="1" x14ac:dyDescent="0.25">
      <c r="C35" s="16" t="s">
        <v>35</v>
      </c>
      <c r="D35" s="54">
        <v>1375922853.9000001</v>
      </c>
      <c r="E35" s="54">
        <f>458926235.59+E44</f>
        <v>623532893.29999995</v>
      </c>
      <c r="F35" s="16">
        <f>905738415.85+E44</f>
        <v>1070345073.5600001</v>
      </c>
    </row>
    <row r="36" spans="3:6" customFormat="1" x14ac:dyDescent="0.25">
      <c r="C36" s="16" t="s">
        <v>39</v>
      </c>
      <c r="D36" s="54">
        <v>1376390795.98</v>
      </c>
      <c r="E36" s="53">
        <v>783852314.22000003</v>
      </c>
      <c r="F36" s="16">
        <f>1211571484.59+E45</f>
        <v>1338473426.46</v>
      </c>
    </row>
    <row r="37" spans="3:6" customFormat="1" x14ac:dyDescent="0.25">
      <c r="C37" s="16" t="s">
        <v>36</v>
      </c>
      <c r="D37" s="54">
        <v>1870540613.6900001</v>
      </c>
      <c r="E37" s="53">
        <v>847579514.28999996</v>
      </c>
      <c r="F37" s="16">
        <f>1620730863.25+E46</f>
        <v>1822434706.4400001</v>
      </c>
    </row>
    <row r="38" spans="3:6" customFormat="1" x14ac:dyDescent="0.25">
      <c r="C38" s="16" t="s">
        <v>37</v>
      </c>
      <c r="D38" s="54">
        <v>1862160202.8800001</v>
      </c>
      <c r="E38" s="54">
        <v>623854619.14999998</v>
      </c>
      <c r="F38" s="16">
        <f>1877495770.25+E47</f>
        <v>1877495770.25</v>
      </c>
    </row>
    <row r="39" spans="3:6" customFormat="1" x14ac:dyDescent="0.25">
      <c r="C39" s="16" t="s">
        <v>60</v>
      </c>
      <c r="D39" s="71">
        <v>1415757289.0999999</v>
      </c>
      <c r="E39" s="54">
        <v>952071651.10000002</v>
      </c>
      <c r="F39" s="18">
        <v>952071650.58000004</v>
      </c>
    </row>
    <row r="40" spans="3:6" customFormat="1" x14ac:dyDescent="0.25">
      <c r="C40" s="1" t="s">
        <v>38</v>
      </c>
      <c r="D40" s="54">
        <v>1000000000</v>
      </c>
      <c r="E40" s="54">
        <v>696593947.72000003</v>
      </c>
      <c r="F40" s="16">
        <f>696593947.72+E48</f>
        <v>861200605.43000007</v>
      </c>
    </row>
    <row r="41" spans="3:6" customFormat="1" x14ac:dyDescent="0.25">
      <c r="C41" s="1"/>
      <c r="D41" s="56"/>
      <c r="E41" s="56"/>
      <c r="F41" s="16"/>
    </row>
    <row r="42" spans="3:6" customFormat="1" ht="22.5" hidden="1" customHeight="1" x14ac:dyDescent="0.25">
      <c r="D42" s="36"/>
      <c r="E42" s="53"/>
      <c r="F42" s="10"/>
    </row>
    <row r="43" spans="3:6" customFormat="1" hidden="1" x14ac:dyDescent="0.25">
      <c r="C43" t="s">
        <v>40</v>
      </c>
      <c r="D43" s="19">
        <v>675733527.52999997</v>
      </c>
      <c r="E43" s="53">
        <v>135336288.44999999</v>
      </c>
      <c r="F43" s="10">
        <v>811069815.98000002</v>
      </c>
    </row>
    <row r="44" spans="3:6" customFormat="1" hidden="1" x14ac:dyDescent="0.25">
      <c r="C44" t="s">
        <v>41</v>
      </c>
      <c r="D44" s="19">
        <v>458926235.58999997</v>
      </c>
      <c r="E44" s="53">
        <v>164606657.71000001</v>
      </c>
      <c r="F44" s="20">
        <f>D44+E44</f>
        <v>623532893.29999995</v>
      </c>
    </row>
    <row r="45" spans="3:6" customFormat="1" hidden="1" x14ac:dyDescent="0.25">
      <c r="C45" t="s">
        <v>42</v>
      </c>
      <c r="D45" s="19">
        <v>656950372.35000002</v>
      </c>
      <c r="E45" s="53">
        <v>126901941.87</v>
      </c>
      <c r="F45" s="10">
        <v>783852314.22000003</v>
      </c>
    </row>
    <row r="46" spans="3:6" customFormat="1" hidden="1" x14ac:dyDescent="0.25">
      <c r="C46" t="s">
        <v>43</v>
      </c>
      <c r="D46" s="19">
        <v>645875671.10000002</v>
      </c>
      <c r="E46" s="53">
        <v>201703843.19</v>
      </c>
      <c r="F46" s="10">
        <v>847579514.28999996</v>
      </c>
    </row>
    <row r="47" spans="3:6" customFormat="1" hidden="1" x14ac:dyDescent="0.25">
      <c r="C47" t="s">
        <v>44</v>
      </c>
      <c r="D47" s="19">
        <v>623854619.14999998</v>
      </c>
      <c r="E47" s="53">
        <v>0</v>
      </c>
      <c r="F47" s="10">
        <f t="shared" ref="F47:F48" si="1">D47+E47</f>
        <v>623854619.14999998</v>
      </c>
    </row>
    <row r="48" spans="3:6" customFormat="1" hidden="1" x14ac:dyDescent="0.25">
      <c r="C48" t="s">
        <v>45</v>
      </c>
      <c r="D48" s="36"/>
      <c r="E48" s="53">
        <v>164606657.71000001</v>
      </c>
      <c r="F48" s="21">
        <f t="shared" si="1"/>
        <v>164606657.71000001</v>
      </c>
    </row>
    <row r="49" spans="1:14" hidden="1" x14ac:dyDescent="0.25">
      <c r="C49" t="s">
        <v>46</v>
      </c>
    </row>
    <row r="51" spans="1:14" x14ac:dyDescent="0.25">
      <c r="B51" s="7" t="s">
        <v>48</v>
      </c>
      <c r="C51" s="7" t="s">
        <v>47</v>
      </c>
    </row>
    <row r="52" spans="1:14" s="7" customFormat="1" ht="15.75" x14ac:dyDescent="0.25">
      <c r="A52" s="25"/>
      <c r="B52" s="5"/>
      <c r="C52" s="5" t="s">
        <v>1</v>
      </c>
      <c r="D52" s="60" t="s">
        <v>52</v>
      </c>
      <c r="E52" s="46" t="s">
        <v>53</v>
      </c>
      <c r="F52" s="6" t="s">
        <v>54</v>
      </c>
      <c r="H52" s="9"/>
      <c r="N52" s="9"/>
    </row>
    <row r="53" spans="1:14" ht="16.5" customHeight="1" x14ac:dyDescent="0.25">
      <c r="A53" s="26"/>
      <c r="B53" s="2"/>
      <c r="C53" s="2" t="s">
        <v>49</v>
      </c>
      <c r="D53" s="67">
        <v>13988874.380000001</v>
      </c>
      <c r="E53" s="62">
        <v>5229311.0599999996</v>
      </c>
      <c r="F53" s="16">
        <f>E53</f>
        <v>5229311.0599999996</v>
      </c>
      <c r="G53" s="13"/>
      <c r="H53" s="10"/>
      <c r="L53"/>
    </row>
    <row r="54" spans="1:14" ht="16.5" customHeight="1" x14ac:dyDescent="0.25">
      <c r="A54" s="26"/>
      <c r="B54" s="2"/>
      <c r="C54" s="2" t="s">
        <v>50</v>
      </c>
      <c r="D54" s="72">
        <v>5469945</v>
      </c>
      <c r="E54" s="53">
        <v>5115741</v>
      </c>
      <c r="F54" s="16">
        <f t="shared" ref="F54:F66" si="2">E54</f>
        <v>5115741</v>
      </c>
      <c r="H54" s="10"/>
      <c r="L54"/>
    </row>
    <row r="55" spans="1:14" ht="16.5" customHeight="1" x14ac:dyDescent="0.25">
      <c r="A55" s="22"/>
      <c r="B55" s="2"/>
      <c r="C55" s="1" t="s">
        <v>247</v>
      </c>
      <c r="D55" s="73">
        <v>7303800</v>
      </c>
      <c r="E55" s="63">
        <v>6993000</v>
      </c>
      <c r="F55" s="16">
        <f t="shared" si="2"/>
        <v>6993000</v>
      </c>
      <c r="H55" s="10"/>
      <c r="L55"/>
    </row>
    <row r="56" spans="1:14" ht="16.5" customHeight="1" x14ac:dyDescent="0.25">
      <c r="A56" s="22"/>
      <c r="B56" s="2"/>
      <c r="C56" s="1" t="s">
        <v>248</v>
      </c>
      <c r="D56" s="73">
        <v>5469945</v>
      </c>
      <c r="E56" s="63">
        <v>5115744</v>
      </c>
      <c r="F56" s="16">
        <f t="shared" si="2"/>
        <v>5115744</v>
      </c>
      <c r="H56" s="10"/>
      <c r="L56"/>
    </row>
    <row r="57" spans="1:14" ht="16.5" customHeight="1" x14ac:dyDescent="0.25">
      <c r="A57" s="22"/>
      <c r="B57" s="2"/>
      <c r="C57" s="1" t="s">
        <v>249</v>
      </c>
      <c r="D57" s="73">
        <v>6233768.6299999999</v>
      </c>
      <c r="E57" s="63">
        <v>5956536.2400000002</v>
      </c>
      <c r="F57" s="16">
        <f t="shared" si="2"/>
        <v>5956536.2400000002</v>
      </c>
      <c r="H57" s="10"/>
      <c r="L57"/>
    </row>
    <row r="58" spans="1:14" ht="16.5" customHeight="1" x14ac:dyDescent="0.25">
      <c r="A58" s="22"/>
      <c r="B58" s="2"/>
      <c r="C58" s="1" t="s">
        <v>250</v>
      </c>
      <c r="D58" s="73">
        <v>6734424.3799999999</v>
      </c>
      <c r="E58" s="63">
        <v>6438133.1299999999</v>
      </c>
      <c r="F58" s="16">
        <f t="shared" si="2"/>
        <v>6438133.1299999999</v>
      </c>
      <c r="H58" s="10"/>
      <c r="L58"/>
    </row>
    <row r="59" spans="1:14" ht="16.5" customHeight="1" x14ac:dyDescent="0.25">
      <c r="A59" s="22"/>
      <c r="B59" s="2"/>
      <c r="C59" s="1" t="s">
        <v>251</v>
      </c>
      <c r="D59" s="73">
        <v>7029290.6299999999</v>
      </c>
      <c r="E59" s="63">
        <v>6631607.25</v>
      </c>
      <c r="F59" s="16">
        <f t="shared" si="2"/>
        <v>6631607.25</v>
      </c>
      <c r="H59" s="10"/>
      <c r="L59"/>
    </row>
    <row r="60" spans="1:14" ht="16.5" customHeight="1" x14ac:dyDescent="0.25">
      <c r="A60" s="22"/>
      <c r="B60" s="2"/>
      <c r="C60" s="1" t="s">
        <v>252</v>
      </c>
      <c r="D60" s="73">
        <v>2775937.5</v>
      </c>
      <c r="E60" s="63">
        <v>2775937.5</v>
      </c>
      <c r="F60" s="16">
        <f t="shared" si="2"/>
        <v>2775937.5</v>
      </c>
      <c r="H60" s="10"/>
      <c r="L60"/>
    </row>
    <row r="61" spans="1:14" ht="16.5" customHeight="1" x14ac:dyDescent="0.25">
      <c r="A61" s="22"/>
      <c r="B61" s="2"/>
      <c r="C61" t="s">
        <v>253</v>
      </c>
      <c r="D61" s="73">
        <v>4528356</v>
      </c>
      <c r="E61" s="63">
        <v>4300598.7</v>
      </c>
      <c r="F61" s="16">
        <f t="shared" si="2"/>
        <v>4300598.7</v>
      </c>
      <c r="H61" s="10"/>
      <c r="L61"/>
    </row>
    <row r="62" spans="1:14" ht="16.5" customHeight="1" x14ac:dyDescent="0.25">
      <c r="A62" s="22"/>
      <c r="B62" s="2"/>
      <c r="C62" s="1" t="s">
        <v>254</v>
      </c>
      <c r="D62" s="73">
        <v>6136584.3799999999</v>
      </c>
      <c r="E62" s="63">
        <v>6136584.3799999999</v>
      </c>
      <c r="F62" s="16">
        <f t="shared" si="2"/>
        <v>6136584.3799999999</v>
      </c>
      <c r="H62" s="10"/>
      <c r="L62"/>
    </row>
    <row r="63" spans="1:14" ht="16.5" customHeight="1" x14ac:dyDescent="0.25">
      <c r="A63" s="22"/>
      <c r="B63" s="2"/>
      <c r="C63" s="56" t="s">
        <v>280</v>
      </c>
      <c r="D63" s="74">
        <v>2750000</v>
      </c>
      <c r="E63" s="66">
        <v>2750000</v>
      </c>
      <c r="F63" s="16">
        <f t="shared" si="2"/>
        <v>2750000</v>
      </c>
      <c r="H63" s="10"/>
      <c r="L63"/>
    </row>
    <row r="64" spans="1:14" ht="16.5" customHeight="1" x14ac:dyDescent="0.25">
      <c r="A64" s="22"/>
      <c r="B64" s="76"/>
      <c r="C64" s="77" t="s">
        <v>281</v>
      </c>
      <c r="D64" s="78">
        <v>1156787.5</v>
      </c>
      <c r="E64" s="66">
        <v>1156387.5</v>
      </c>
      <c r="F64" s="79">
        <f t="shared" si="2"/>
        <v>1156387.5</v>
      </c>
      <c r="H64" s="10"/>
      <c r="L64"/>
    </row>
    <row r="65" spans="1:14" ht="16.5" customHeight="1" x14ac:dyDescent="0.25">
      <c r="A65" s="22"/>
      <c r="B65" s="2"/>
      <c r="C65" s="56" t="s">
        <v>282</v>
      </c>
      <c r="D65" s="73">
        <v>6347636.3499999996</v>
      </c>
      <c r="E65" s="49">
        <v>6029191.0800000001</v>
      </c>
      <c r="F65" s="16">
        <f t="shared" si="2"/>
        <v>6029191.0800000001</v>
      </c>
      <c r="H65" s="10"/>
      <c r="L65"/>
    </row>
    <row r="66" spans="1:14" ht="16.5" customHeight="1" x14ac:dyDescent="0.25">
      <c r="A66" s="22"/>
      <c r="B66" s="2"/>
      <c r="C66" s="56" t="s">
        <v>283</v>
      </c>
      <c r="D66" s="73">
        <v>6116932.5</v>
      </c>
      <c r="E66" s="49">
        <v>5808042.9800000004</v>
      </c>
      <c r="F66" s="16">
        <f t="shared" si="2"/>
        <v>5808042.9800000004</v>
      </c>
      <c r="H66" s="10"/>
      <c r="L66"/>
    </row>
    <row r="67" spans="1:14" ht="15.75" x14ac:dyDescent="0.25">
      <c r="A67" s="22"/>
      <c r="B67" s="2"/>
      <c r="C67" s="2" t="s">
        <v>21</v>
      </c>
      <c r="D67" s="80">
        <f>SUM(D53:D66)</f>
        <v>82042282.25</v>
      </c>
      <c r="E67" s="49"/>
      <c r="F67" s="27">
        <f>SUM(F53:F66)</f>
        <v>70436814.820000008</v>
      </c>
      <c r="H67" s="10"/>
      <c r="L67"/>
    </row>
    <row r="68" spans="1:14" ht="15.75" x14ac:dyDescent="0.25">
      <c r="A68" s="22"/>
      <c r="B68" s="4"/>
      <c r="C68" s="4"/>
      <c r="D68" s="52"/>
      <c r="E68" s="52"/>
      <c r="F68" s="15"/>
      <c r="G68" s="4"/>
      <c r="H68" s="4"/>
      <c r="I68" s="4"/>
      <c r="J68" s="4"/>
    </row>
    <row r="69" spans="1:14" x14ac:dyDescent="0.25">
      <c r="B69" s="7" t="s">
        <v>55</v>
      </c>
      <c r="C69" s="7" t="s">
        <v>56</v>
      </c>
    </row>
    <row r="70" spans="1:14" s="7" customFormat="1" ht="15.75" x14ac:dyDescent="0.25">
      <c r="A70" s="25"/>
      <c r="B70" s="5"/>
      <c r="C70" s="5" t="s">
        <v>1</v>
      </c>
      <c r="D70" s="60" t="s">
        <v>52</v>
      </c>
      <c r="E70" s="46" t="s">
        <v>53</v>
      </c>
      <c r="F70" s="6" t="s">
        <v>54</v>
      </c>
      <c r="H70" s="9"/>
      <c r="N70" s="9"/>
    </row>
    <row r="71" spans="1:14" ht="15.75" x14ac:dyDescent="0.25">
      <c r="A71" s="26"/>
      <c r="B71" s="2"/>
      <c r="C71" s="2" t="s">
        <v>57</v>
      </c>
      <c r="D71" s="67">
        <v>11426346.25</v>
      </c>
      <c r="E71" s="48">
        <v>11426346.25</v>
      </c>
      <c r="F71" s="10">
        <f>+E71</f>
        <v>11426346.25</v>
      </c>
      <c r="G71" s="13"/>
      <c r="H71" s="10"/>
      <c r="L71"/>
    </row>
    <row r="72" spans="1:14" ht="15.75" x14ac:dyDescent="0.25">
      <c r="A72" s="26"/>
      <c r="B72" s="2"/>
      <c r="C72" s="2" t="s">
        <v>58</v>
      </c>
      <c r="D72" s="72">
        <v>8936340.0700000003</v>
      </c>
      <c r="E72" s="53">
        <v>8936340.0700000003</v>
      </c>
      <c r="F72" s="10">
        <f t="shared" ref="F72:F77" si="3">+E72</f>
        <v>8936340.0700000003</v>
      </c>
      <c r="H72" s="10"/>
      <c r="L72"/>
    </row>
    <row r="73" spans="1:14" ht="15.75" x14ac:dyDescent="0.25">
      <c r="A73" s="26"/>
      <c r="B73" s="2"/>
      <c r="C73" s="2" t="s">
        <v>242</v>
      </c>
      <c r="D73" s="72">
        <v>5488904.25</v>
      </c>
      <c r="E73" s="53">
        <v>5468904</v>
      </c>
      <c r="F73" s="10">
        <f>E73</f>
        <v>5468904</v>
      </c>
      <c r="H73" s="10"/>
      <c r="L73"/>
    </row>
    <row r="74" spans="1:14" ht="15.75" x14ac:dyDescent="0.25">
      <c r="A74" s="26"/>
      <c r="B74" s="2"/>
      <c r="C74" s="2" t="s">
        <v>244</v>
      </c>
      <c r="D74" s="72">
        <v>9331913.9499999993</v>
      </c>
      <c r="E74" s="53">
        <v>9765936</v>
      </c>
      <c r="F74" s="10">
        <f>E74</f>
        <v>9765936</v>
      </c>
      <c r="H74" s="10"/>
      <c r="L74"/>
    </row>
    <row r="75" spans="1:14" ht="15.75" x14ac:dyDescent="0.25">
      <c r="A75" s="26"/>
      <c r="B75" s="2"/>
      <c r="C75" s="2" t="s">
        <v>243</v>
      </c>
      <c r="D75" s="72">
        <v>11480016.289999999</v>
      </c>
      <c r="E75" s="53">
        <v>11480016.289999999</v>
      </c>
      <c r="F75" s="10">
        <f>E75</f>
        <v>11480016.289999999</v>
      </c>
      <c r="H75" s="10"/>
      <c r="L75"/>
    </row>
    <row r="76" spans="1:14" ht="15.75" x14ac:dyDescent="0.25">
      <c r="A76" s="26"/>
      <c r="B76" s="2"/>
      <c r="C76" s="2" t="s">
        <v>245</v>
      </c>
      <c r="D76" s="72">
        <v>11480016.289999999</v>
      </c>
      <c r="E76" s="53">
        <v>11480016.289999999</v>
      </c>
      <c r="F76" s="10">
        <f>E76</f>
        <v>11480016.289999999</v>
      </c>
      <c r="H76" s="10"/>
      <c r="L76"/>
    </row>
    <row r="77" spans="1:14" ht="15.75" x14ac:dyDescent="0.25">
      <c r="A77" s="22"/>
      <c r="B77" s="2"/>
      <c r="C77" s="2" t="s">
        <v>59</v>
      </c>
      <c r="D77" s="72">
        <v>5099999.4800000004</v>
      </c>
      <c r="E77" s="49">
        <v>4882978.2300000004</v>
      </c>
      <c r="F77" s="10">
        <f t="shared" si="3"/>
        <v>4882978.2300000004</v>
      </c>
      <c r="H77" s="10"/>
      <c r="L77"/>
    </row>
    <row r="78" spans="1:14" s="7" customFormat="1" ht="15.75" x14ac:dyDescent="0.25">
      <c r="A78" s="25"/>
      <c r="B78" s="5"/>
      <c r="C78" s="5" t="s">
        <v>21</v>
      </c>
      <c r="D78" s="75">
        <f>SUM(D71:D77)</f>
        <v>63243536.579999998</v>
      </c>
      <c r="E78" s="59">
        <f>SUM(E71:E77)</f>
        <v>63440537.129999995</v>
      </c>
      <c r="F78" s="28">
        <f>SUM(F71:F77)</f>
        <v>63440537.129999995</v>
      </c>
      <c r="H78" s="9"/>
      <c r="N78" s="9"/>
    </row>
    <row r="81" spans="3:6" customFormat="1" x14ac:dyDescent="0.25">
      <c r="C81" s="17" t="s">
        <v>257</v>
      </c>
      <c r="D81" s="54"/>
      <c r="E81" s="54"/>
      <c r="F81" s="16"/>
    </row>
    <row r="82" spans="3:6" customFormat="1" x14ac:dyDescent="0.25">
      <c r="C82" s="16"/>
      <c r="D82" s="54"/>
      <c r="E82" s="54"/>
      <c r="F82" s="16"/>
    </row>
    <row r="83" spans="3:6" customFormat="1" x14ac:dyDescent="0.25">
      <c r="C83" s="17" t="s">
        <v>1</v>
      </c>
      <c r="D83" s="55" t="s">
        <v>258</v>
      </c>
      <c r="E83" s="55" t="s">
        <v>32</v>
      </c>
      <c r="F83" s="17" t="s">
        <v>33</v>
      </c>
    </row>
    <row r="84" spans="3:6" customFormat="1" x14ac:dyDescent="0.25">
      <c r="C84" s="16" t="s">
        <v>260</v>
      </c>
      <c r="D84" s="54">
        <v>34688115</v>
      </c>
      <c r="E84" s="54">
        <v>32948351.25</v>
      </c>
      <c r="F84" s="16">
        <v>32948351.25</v>
      </c>
    </row>
    <row r="85" spans="3:6" customFormat="1" ht="15.75" x14ac:dyDescent="0.25">
      <c r="C85" s="2" t="s">
        <v>51</v>
      </c>
      <c r="D85" s="67">
        <v>48952053.939999998</v>
      </c>
      <c r="E85" s="49">
        <v>28093225.43</v>
      </c>
      <c r="F85" s="16">
        <v>28093225.43</v>
      </c>
    </row>
    <row r="86" spans="3:6" customFormat="1" x14ac:dyDescent="0.25">
      <c r="C86" s="16" t="s">
        <v>259</v>
      </c>
      <c r="D86" s="54">
        <v>28178291.879999999</v>
      </c>
      <c r="E86" s="54">
        <v>26895262.530000001</v>
      </c>
      <c r="F86" s="16">
        <v>26895262.530000001</v>
      </c>
    </row>
    <row r="87" spans="3:6" customFormat="1" x14ac:dyDescent="0.25">
      <c r="C87" s="16" t="s">
        <v>261</v>
      </c>
      <c r="D87" s="54">
        <v>11997786.939999999</v>
      </c>
      <c r="E87" s="54">
        <v>11426346.25</v>
      </c>
      <c r="F87" s="16">
        <v>11426346.25</v>
      </c>
    </row>
    <row r="88" spans="3:6" customFormat="1" x14ac:dyDescent="0.25">
      <c r="C88" s="16" t="s">
        <v>262</v>
      </c>
      <c r="D88" s="71">
        <v>11317003.689999999</v>
      </c>
      <c r="E88" s="54">
        <v>10741952.810000001</v>
      </c>
      <c r="F88" s="18">
        <v>10741952.810000001</v>
      </c>
    </row>
    <row r="89" spans="3:6" customFormat="1" x14ac:dyDescent="0.25">
      <c r="C89" s="1" t="s">
        <v>263</v>
      </c>
      <c r="D89" s="54">
        <v>8936340.0700000003</v>
      </c>
      <c r="E89" s="54">
        <v>8936340.0700000003</v>
      </c>
      <c r="F89" s="16">
        <v>8936340.0700000003</v>
      </c>
    </row>
    <row r="90" spans="3:6" customFormat="1" x14ac:dyDescent="0.25">
      <c r="C90" s="1" t="s">
        <v>266</v>
      </c>
      <c r="D90" s="54">
        <v>55988821.700000003</v>
      </c>
      <c r="E90" s="54">
        <v>8495543.75</v>
      </c>
      <c r="F90" s="16">
        <v>8495543.75</v>
      </c>
    </row>
    <row r="91" spans="3:6" customFormat="1" x14ac:dyDescent="0.25">
      <c r="C91" s="54" t="s">
        <v>264</v>
      </c>
      <c r="D91" s="54">
        <v>19583810.190000001</v>
      </c>
      <c r="E91" s="54">
        <v>8345250</v>
      </c>
      <c r="F91" s="16">
        <v>8345250</v>
      </c>
    </row>
    <row r="92" spans="3:6" customFormat="1" x14ac:dyDescent="0.25">
      <c r="C92" s="54" t="s">
        <v>265</v>
      </c>
      <c r="D92" s="54">
        <v>7395714.3799999999</v>
      </c>
      <c r="E92" s="54">
        <v>6846253.71</v>
      </c>
      <c r="F92" s="16">
        <v>6846253.71</v>
      </c>
    </row>
    <row r="93" spans="3:6" customFormat="1" x14ac:dyDescent="0.25">
      <c r="C93" s="54" t="s">
        <v>267</v>
      </c>
      <c r="D93" s="54">
        <v>6388234.1299999999</v>
      </c>
      <c r="E93" s="54">
        <v>6055700</v>
      </c>
      <c r="F93" s="16">
        <v>6055700</v>
      </c>
    </row>
    <row r="94" spans="3:6" customFormat="1" x14ac:dyDescent="0.25">
      <c r="C94" s="1" t="s">
        <v>268</v>
      </c>
      <c r="D94" s="54">
        <v>1152000</v>
      </c>
      <c r="E94" s="54">
        <v>1152000</v>
      </c>
      <c r="F94" s="16">
        <v>1152000</v>
      </c>
    </row>
    <row r="95" spans="3:6" customFormat="1" x14ac:dyDescent="0.25">
      <c r="C95" s="1" t="s">
        <v>269</v>
      </c>
      <c r="D95" s="54">
        <v>35292751.200000003</v>
      </c>
      <c r="E95" s="54">
        <f>18269176.25+15468820</f>
        <v>33737996.25</v>
      </c>
      <c r="F95" s="16">
        <f>E95</f>
        <v>33737996.25</v>
      </c>
    </row>
    <row r="96" spans="3:6" customFormat="1" x14ac:dyDescent="0.25">
      <c r="C96" s="1" t="s">
        <v>270</v>
      </c>
      <c r="D96" s="54">
        <v>19433097.050000001</v>
      </c>
      <c r="E96" s="54">
        <f>18581881</f>
        <v>18581881</v>
      </c>
      <c r="F96" s="16">
        <v>18581881</v>
      </c>
    </row>
    <row r="97" spans="3:6" customFormat="1" x14ac:dyDescent="0.25">
      <c r="C97" s="1" t="s">
        <v>271</v>
      </c>
      <c r="D97" s="54">
        <v>36221000.969999999</v>
      </c>
      <c r="E97" s="54">
        <v>36221000.969999999</v>
      </c>
      <c r="F97" s="16">
        <v>36221000.969999999</v>
      </c>
    </row>
    <row r="98" spans="3:6" customFormat="1" x14ac:dyDescent="0.25">
      <c r="C98" s="1" t="s">
        <v>272</v>
      </c>
      <c r="D98" s="54">
        <f>E98</f>
        <v>11737770.58</v>
      </c>
      <c r="E98" s="54">
        <v>11737770.58</v>
      </c>
      <c r="F98" s="16">
        <f>E98</f>
        <v>11737770.58</v>
      </c>
    </row>
    <row r="99" spans="3:6" customFormat="1" x14ac:dyDescent="0.25">
      <c r="C99" s="1" t="s">
        <v>273</v>
      </c>
      <c r="D99" s="54">
        <f>E99</f>
        <v>13144018.5</v>
      </c>
      <c r="E99" s="54">
        <v>13144018.5</v>
      </c>
      <c r="F99" s="16">
        <f>E99</f>
        <v>13144018.5</v>
      </c>
    </row>
    <row r="100" spans="3:6" customFormat="1" x14ac:dyDescent="0.25">
      <c r="C100" s="1" t="s">
        <v>274</v>
      </c>
      <c r="D100" s="54">
        <v>23207312.489999998</v>
      </c>
      <c r="E100" s="54">
        <v>30157478</v>
      </c>
      <c r="F100" s="16">
        <f>E100+2806605</f>
        <v>32964083</v>
      </c>
    </row>
    <row r="101" spans="3:6" customFormat="1" x14ac:dyDescent="0.25">
      <c r="C101" s="1" t="s">
        <v>275</v>
      </c>
      <c r="D101" s="54">
        <v>6450613</v>
      </c>
      <c r="E101" s="54">
        <v>6450613</v>
      </c>
      <c r="F101" s="16">
        <f>E101</f>
        <v>6450613</v>
      </c>
    </row>
    <row r="102" spans="3:6" customFormat="1" x14ac:dyDescent="0.25">
      <c r="C102" s="1" t="s">
        <v>276</v>
      </c>
      <c r="D102" s="54">
        <v>13094220.560000001</v>
      </c>
      <c r="E102" s="54">
        <f>4307444+7545518</f>
        <v>11852962</v>
      </c>
      <c r="F102" s="16">
        <f>E102</f>
        <v>11852962</v>
      </c>
    </row>
    <row r="103" spans="3:6" customFormat="1" x14ac:dyDescent="0.25">
      <c r="C103" s="1" t="s">
        <v>277</v>
      </c>
      <c r="D103" s="54">
        <v>8237748.75</v>
      </c>
      <c r="E103" s="54">
        <v>7886250</v>
      </c>
      <c r="F103" s="16">
        <f>E103</f>
        <v>7886250</v>
      </c>
    </row>
    <row r="104" spans="3:6" customFormat="1" x14ac:dyDescent="0.25">
      <c r="C104" s="1" t="s">
        <v>278</v>
      </c>
      <c r="D104" s="54">
        <v>1393593</v>
      </c>
      <c r="E104" s="54">
        <v>13935093</v>
      </c>
      <c r="F104" s="16">
        <f>E104</f>
        <v>13935093</v>
      </c>
    </row>
    <row r="105" spans="3:6" customFormat="1" x14ac:dyDescent="0.25">
      <c r="C105" s="1" t="s">
        <v>279</v>
      </c>
      <c r="D105" s="54">
        <v>15679111.880000001</v>
      </c>
      <c r="E105" s="54">
        <v>14814311.880000001</v>
      </c>
      <c r="F105" s="16">
        <f>E105</f>
        <v>14814311.880000001</v>
      </c>
    </row>
    <row r="106" spans="3:6" customFormat="1" x14ac:dyDescent="0.25">
      <c r="C106" s="1"/>
      <c r="D106" s="70">
        <f>SUM(D84:D105)</f>
        <v>418469409.89999998</v>
      </c>
      <c r="E106" s="70">
        <f>SUM(E84:E105)</f>
        <v>348455600.98000002</v>
      </c>
      <c r="F106" s="17">
        <f>SUM(F84:F105)</f>
        <v>351262205.98000002</v>
      </c>
    </row>
    <row r="107" spans="3:6" customFormat="1" x14ac:dyDescent="0.25">
      <c r="C107" s="1"/>
      <c r="D107" s="56"/>
      <c r="E107" s="56"/>
      <c r="F107" s="16"/>
    </row>
    <row r="108" spans="3:6" customFormat="1" x14ac:dyDescent="0.25">
      <c r="C108" s="1"/>
      <c r="D108" s="56"/>
      <c r="E108" s="56"/>
      <c r="F108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sqref="A1:XFD1048576"/>
    </sheetView>
  </sheetViews>
  <sheetFormatPr defaultRowHeight="15" x14ac:dyDescent="0.25"/>
  <cols>
    <col min="1" max="1" width="11.140625" customWidth="1"/>
    <col min="2" max="2" width="18.42578125" style="10" customWidth="1"/>
    <col min="3" max="3" width="22.28515625" style="10" customWidth="1"/>
    <col min="4" max="4" width="18.7109375" style="10" customWidth="1"/>
    <col min="5" max="5" width="17" style="10" customWidth="1"/>
  </cols>
  <sheetData>
    <row r="1" spans="1:5" x14ac:dyDescent="0.25">
      <c r="A1" t="s">
        <v>61</v>
      </c>
    </row>
    <row r="2" spans="1:5" x14ac:dyDescent="0.25">
      <c r="A2" t="s">
        <v>72</v>
      </c>
      <c r="B2" s="10" t="s">
        <v>62</v>
      </c>
      <c r="C2" s="10" t="s">
        <v>64</v>
      </c>
      <c r="D2" s="10" t="s">
        <v>65</v>
      </c>
    </row>
    <row r="3" spans="1:5" x14ac:dyDescent="0.25">
      <c r="A3" t="s">
        <v>66</v>
      </c>
      <c r="B3" s="10">
        <v>30745474.059999999</v>
      </c>
      <c r="C3" s="10">
        <v>30376962.690000001</v>
      </c>
      <c r="D3" s="10">
        <v>30376962.620000001</v>
      </c>
      <c r="E3" s="10">
        <f>+B3+C3+D3</f>
        <v>91499399.370000005</v>
      </c>
    </row>
    <row r="4" spans="1:5" x14ac:dyDescent="0.25">
      <c r="A4" t="s">
        <v>63</v>
      </c>
      <c r="B4" s="10">
        <v>2528308.1800000002</v>
      </c>
      <c r="C4" s="10">
        <v>2528308.1800000002</v>
      </c>
      <c r="D4" s="10">
        <v>2528308.1800000002</v>
      </c>
      <c r="E4" s="10">
        <f t="shared" ref="E4:E10" si="0">+B4+C4+D4</f>
        <v>7584924.540000001</v>
      </c>
    </row>
    <row r="5" spans="1:5" x14ac:dyDescent="0.25">
      <c r="A5" t="s">
        <v>67</v>
      </c>
      <c r="B5" s="10">
        <v>1213593.1399999999</v>
      </c>
      <c r="C5" s="10">
        <v>1213593.1399999999</v>
      </c>
      <c r="D5" s="10">
        <v>1213593.1399999999</v>
      </c>
      <c r="E5" s="10">
        <f t="shared" si="0"/>
        <v>3640779.42</v>
      </c>
    </row>
    <row r="6" spans="1:5" x14ac:dyDescent="0.25">
      <c r="A6" t="s">
        <v>68</v>
      </c>
      <c r="B6" s="10">
        <v>5587122.5499999998</v>
      </c>
      <c r="C6" s="10">
        <v>5587122.5499999998</v>
      </c>
      <c r="D6" s="10">
        <v>5587122.5499999998</v>
      </c>
      <c r="E6" s="10">
        <f t="shared" si="0"/>
        <v>16761367.649999999</v>
      </c>
    </row>
    <row r="7" spans="1:5" x14ac:dyDescent="0.25">
      <c r="A7" t="s">
        <v>69</v>
      </c>
      <c r="B7" s="10">
        <v>2578869.13</v>
      </c>
      <c r="C7" s="10">
        <v>2578896.13</v>
      </c>
      <c r="D7" s="10">
        <v>2578869.13</v>
      </c>
      <c r="E7" s="10">
        <f t="shared" si="0"/>
        <v>7736634.3899999997</v>
      </c>
    </row>
    <row r="8" spans="1:5" x14ac:dyDescent="0.25">
      <c r="A8" t="s">
        <v>70</v>
      </c>
      <c r="B8" s="10">
        <v>5134215.37</v>
      </c>
      <c r="C8" s="10">
        <v>5134215.37</v>
      </c>
      <c r="D8" s="10">
        <v>5134215.37</v>
      </c>
      <c r="E8" s="10">
        <f t="shared" si="0"/>
        <v>15402646.109999999</v>
      </c>
    </row>
    <row r="9" spans="1:5" x14ac:dyDescent="0.25">
      <c r="A9" t="s">
        <v>71</v>
      </c>
      <c r="B9" s="10">
        <f>1026712.6+15262065.73</f>
        <v>16288778.33</v>
      </c>
      <c r="C9" s="10">
        <f>1026712.6+14720108.33</f>
        <v>15746820.93</v>
      </c>
      <c r="D9" s="10">
        <f>1026712.6+14720108.33</f>
        <v>15746820.93</v>
      </c>
      <c r="E9" s="10">
        <f t="shared" si="0"/>
        <v>47782420.189999998</v>
      </c>
    </row>
    <row r="10" spans="1:5" x14ac:dyDescent="0.25">
      <c r="E10" s="10">
        <f t="shared" si="0"/>
        <v>0</v>
      </c>
    </row>
    <row r="12" spans="1:5" x14ac:dyDescent="0.25">
      <c r="A12" t="s">
        <v>73</v>
      </c>
      <c r="B12" s="10" t="s">
        <v>62</v>
      </c>
      <c r="C12" s="10" t="s">
        <v>64</v>
      </c>
      <c r="D12" s="10" t="s">
        <v>65</v>
      </c>
    </row>
    <row r="13" spans="1:5" x14ac:dyDescent="0.25">
      <c r="A13" t="s">
        <v>66</v>
      </c>
      <c r="B13" s="10">
        <v>394845.69</v>
      </c>
      <c r="C13" s="10">
        <v>394845.69</v>
      </c>
      <c r="D13" s="10">
        <v>394845.69</v>
      </c>
      <c r="E13" s="10">
        <f>+B13+C13+D13</f>
        <v>1184537.07</v>
      </c>
    </row>
    <row r="14" spans="1:5" x14ac:dyDescent="0.25">
      <c r="A14" t="s">
        <v>63</v>
      </c>
      <c r="B14" s="10">
        <v>2653429.56</v>
      </c>
      <c r="C14" s="10">
        <v>2730986.76</v>
      </c>
      <c r="D14" s="10">
        <v>2730986.76</v>
      </c>
      <c r="E14" s="10">
        <f t="shared" ref="E14:E19" si="1">+B14+C14+D14</f>
        <v>8115403.0800000001</v>
      </c>
    </row>
    <row r="15" spans="1:5" x14ac:dyDescent="0.25">
      <c r="A15" t="s">
        <v>67</v>
      </c>
      <c r="B15" s="10">
        <v>5259269.4800000004</v>
      </c>
      <c r="C15" s="10">
        <v>6241660.6799999997</v>
      </c>
      <c r="D15" s="10">
        <v>6241660.6799999997</v>
      </c>
      <c r="E15" s="10">
        <f t="shared" si="1"/>
        <v>17742590.84</v>
      </c>
    </row>
    <row r="16" spans="1:5" x14ac:dyDescent="0.25">
      <c r="A16" t="s">
        <v>68</v>
      </c>
      <c r="E16" s="10">
        <f t="shared" si="1"/>
        <v>0</v>
      </c>
    </row>
    <row r="17" spans="1:5" x14ac:dyDescent="0.25">
      <c r="A17" t="s">
        <v>69</v>
      </c>
      <c r="B17" s="10">
        <v>8049729.1500000004</v>
      </c>
      <c r="C17" s="10">
        <v>9113009.1999999993</v>
      </c>
      <c r="D17" s="10">
        <v>9113009.1999999993</v>
      </c>
      <c r="E17" s="10">
        <f t="shared" si="1"/>
        <v>26275747.550000001</v>
      </c>
    </row>
    <row r="18" spans="1:5" x14ac:dyDescent="0.25">
      <c r="A18" t="s">
        <v>70</v>
      </c>
      <c r="B18" s="10">
        <v>2841504.66</v>
      </c>
      <c r="C18" s="10">
        <v>4963970.6100000003</v>
      </c>
      <c r="D18" s="10">
        <v>2846317.28</v>
      </c>
      <c r="E18" s="10">
        <f t="shared" si="1"/>
        <v>10651792.550000001</v>
      </c>
    </row>
    <row r="19" spans="1:5" x14ac:dyDescent="0.25">
      <c r="A19" t="s">
        <v>71</v>
      </c>
      <c r="B19" s="10">
        <f>91800.93+91800.93+2680217.02+5213768.77+642606.51</f>
        <v>8720194.1600000001</v>
      </c>
      <c r="C19" s="10">
        <f>117657.33+3411946.57+117657.33+6558093.57</f>
        <v>10205354.800000001</v>
      </c>
      <c r="D19" s="10">
        <f>117653.33+3294293.24+117653.33+6558093.57+823573.31</f>
        <v>10911266.780000001</v>
      </c>
      <c r="E19" s="10">
        <f t="shared" si="1"/>
        <v>29836815.740000002</v>
      </c>
    </row>
    <row r="21" spans="1:5" x14ac:dyDescent="0.25">
      <c r="A21" t="s">
        <v>48</v>
      </c>
      <c r="B21" s="10" t="s">
        <v>62</v>
      </c>
      <c r="C21" s="10" t="s">
        <v>64</v>
      </c>
      <c r="D21" s="10" t="s">
        <v>65</v>
      </c>
    </row>
    <row r="22" spans="1:5" x14ac:dyDescent="0.25">
      <c r="A22" t="s">
        <v>66</v>
      </c>
    </row>
    <row r="23" spans="1:5" x14ac:dyDescent="0.25">
      <c r="A23" t="s">
        <v>63</v>
      </c>
    </row>
    <row r="24" spans="1:5" x14ac:dyDescent="0.25">
      <c r="A24" t="s">
        <v>67</v>
      </c>
    </row>
    <row r="25" spans="1:5" x14ac:dyDescent="0.25">
      <c r="A25" t="s">
        <v>68</v>
      </c>
      <c r="B25" s="10">
        <f>602300.36+4122215.47+1387672.93+2458784.38+2906341.93</f>
        <v>11477315.07</v>
      </c>
      <c r="C25" s="10">
        <f>602300.36+4857276.67+1669783.98+3434583.93+3058986.58</f>
        <v>13622931.52</v>
      </c>
      <c r="D25" s="10">
        <f>602300.36+4873673+1669783.98+3554583.93+3058986.59</f>
        <v>13759327.859999999</v>
      </c>
      <c r="E25" s="10">
        <f>+B25+C25+D25</f>
        <v>38859574.450000003</v>
      </c>
    </row>
    <row r="26" spans="1:5" x14ac:dyDescent="0.25">
      <c r="A26" t="s">
        <v>69</v>
      </c>
    </row>
    <row r="27" spans="1:5" x14ac:dyDescent="0.25">
      <c r="A27" t="s">
        <v>70</v>
      </c>
      <c r="B27" s="10">
        <v>301255.19</v>
      </c>
      <c r="C27" s="10">
        <v>352959.99</v>
      </c>
      <c r="D27" s="10">
        <v>352929.99</v>
      </c>
      <c r="E27" s="10">
        <f>+B27+C27+D27</f>
        <v>1007145.1699999999</v>
      </c>
    </row>
    <row r="28" spans="1:5" x14ac:dyDescent="0.25">
      <c r="A28" t="s">
        <v>71</v>
      </c>
      <c r="B28" s="10">
        <f>2570426.04+1706386.89+8373050.11+1211402.14+91800.93</f>
        <v>13953066.109999999</v>
      </c>
      <c r="C28" s="10">
        <f>1529493.29+3294293.24+2117759.94+10349026.51+117653.33</f>
        <v>17408226.309999999</v>
      </c>
      <c r="D28" s="10">
        <f>3294293.24+2117759.94+10231373.18+1529492.29+117653.33</f>
        <v>17290571.979999997</v>
      </c>
      <c r="E28" s="10">
        <f>+B28+C28+D28</f>
        <v>48651864.399999991</v>
      </c>
    </row>
    <row r="29" spans="1:5" x14ac:dyDescent="0.25">
      <c r="A29" s="29"/>
      <c r="B29" s="21"/>
      <c r="C29" s="21"/>
      <c r="D29" s="21"/>
      <c r="E29" s="21"/>
    </row>
    <row r="30" spans="1:5" x14ac:dyDescent="0.25">
      <c r="A30" s="29" t="s">
        <v>217</v>
      </c>
      <c r="B30" s="21"/>
      <c r="C30" s="21"/>
      <c r="D30" s="21"/>
      <c r="E30" s="21"/>
    </row>
    <row r="31" spans="1:5" x14ac:dyDescent="0.25">
      <c r="A31" t="s">
        <v>66</v>
      </c>
      <c r="B31" s="10">
        <f t="shared" ref="B31:D33" si="2">+B3+B13</f>
        <v>31140319.75</v>
      </c>
      <c r="C31" s="10">
        <f t="shared" si="2"/>
        <v>30771808.380000003</v>
      </c>
      <c r="D31" s="10">
        <f t="shared" si="2"/>
        <v>30771808.310000002</v>
      </c>
    </row>
    <row r="32" spans="1:5" x14ac:dyDescent="0.25">
      <c r="A32" t="s">
        <v>63</v>
      </c>
      <c r="B32" s="10">
        <f t="shared" si="2"/>
        <v>5181737.74</v>
      </c>
      <c r="C32" s="10">
        <f t="shared" si="2"/>
        <v>5259294.9399999995</v>
      </c>
      <c r="D32" s="10">
        <f t="shared" si="2"/>
        <v>5259294.9399999995</v>
      </c>
    </row>
    <row r="33" spans="1:4" customFormat="1" x14ac:dyDescent="0.25">
      <c r="A33" t="s">
        <v>67</v>
      </c>
      <c r="B33" s="10">
        <f t="shared" si="2"/>
        <v>6472862.6200000001</v>
      </c>
      <c r="C33" s="10">
        <f t="shared" si="2"/>
        <v>7455253.8199999994</v>
      </c>
      <c r="D33" s="10">
        <f t="shared" si="2"/>
        <v>7455253.8199999994</v>
      </c>
    </row>
    <row r="34" spans="1:4" customFormat="1" x14ac:dyDescent="0.25">
      <c r="A34" t="s">
        <v>68</v>
      </c>
      <c r="B34" s="10">
        <f>+B6+B25</f>
        <v>17064437.620000001</v>
      </c>
      <c r="C34" s="10">
        <f>+C6+C25</f>
        <v>19210054.07</v>
      </c>
      <c r="D34" s="10">
        <f>+D6+D28</f>
        <v>22877694.529999997</v>
      </c>
    </row>
    <row r="35" spans="1:4" customFormat="1" x14ac:dyDescent="0.25">
      <c r="A35" t="s">
        <v>69</v>
      </c>
      <c r="B35" s="10">
        <f>+B7+B17</f>
        <v>10628598.280000001</v>
      </c>
      <c r="C35" s="10">
        <f>+C7+C17</f>
        <v>11691905.329999998</v>
      </c>
      <c r="D35" s="10">
        <f>+D7+D17</f>
        <v>11691878.329999998</v>
      </c>
    </row>
    <row r="36" spans="1:4" customFormat="1" x14ac:dyDescent="0.25">
      <c r="A36" t="s">
        <v>70</v>
      </c>
      <c r="B36" s="10">
        <f t="shared" ref="B36:D37" si="3">+B8+B18+B27</f>
        <v>8276975.2200000007</v>
      </c>
      <c r="C36" s="10">
        <f t="shared" si="3"/>
        <v>10451145.970000001</v>
      </c>
      <c r="D36" s="10">
        <f t="shared" si="3"/>
        <v>8333462.6400000006</v>
      </c>
    </row>
    <row r="37" spans="1:4" customFormat="1" x14ac:dyDescent="0.25">
      <c r="A37" t="s">
        <v>71</v>
      </c>
      <c r="B37" s="10">
        <f t="shared" si="3"/>
        <v>38962038.600000001</v>
      </c>
      <c r="C37" s="10">
        <f t="shared" si="3"/>
        <v>43360402.039999999</v>
      </c>
      <c r="D37" s="10">
        <f t="shared" si="3"/>
        <v>43948659.689999998</v>
      </c>
    </row>
    <row r="41" spans="1:4" customFormat="1" x14ac:dyDescent="0.25">
      <c r="B41" s="10"/>
      <c r="C41" s="10">
        <f>10*2784*6*4</f>
        <v>668160</v>
      </c>
      <c r="D41" s="10"/>
    </row>
    <row r="42" spans="1:4" customFormat="1" x14ac:dyDescent="0.25">
      <c r="B42" s="10"/>
      <c r="C42" s="10">
        <f>2714*10*7*4</f>
        <v>759920</v>
      </c>
      <c r="D42" s="10"/>
    </row>
    <row r="44" spans="1:4" customFormat="1" x14ac:dyDescent="0.25">
      <c r="B44" s="10"/>
      <c r="C44" s="10">
        <f>C42+700000+450000</f>
        <v>1909920</v>
      </c>
      <c r="D4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0" workbookViewId="0">
      <selection activeCell="A12" sqref="A12"/>
    </sheetView>
  </sheetViews>
  <sheetFormatPr defaultRowHeight="15" x14ac:dyDescent="0.25"/>
  <cols>
    <col min="1" max="1" width="11.140625" customWidth="1"/>
    <col min="2" max="2" width="18.42578125" style="10" customWidth="1"/>
    <col min="3" max="3" width="22.28515625" style="10" customWidth="1"/>
    <col min="5" max="5" width="15.140625" style="10" customWidth="1"/>
    <col min="6" max="6" width="15.28515625" style="10" bestFit="1" customWidth="1"/>
  </cols>
  <sheetData>
    <row r="1" spans="1:3" x14ac:dyDescent="0.25">
      <c r="A1" t="s">
        <v>61</v>
      </c>
    </row>
    <row r="2" spans="1:3" x14ac:dyDescent="0.25">
      <c r="A2" t="s">
        <v>72</v>
      </c>
      <c r="B2" s="10" t="s">
        <v>285</v>
      </c>
      <c r="C2" s="10" t="s">
        <v>286</v>
      </c>
    </row>
    <row r="3" spans="1:3" x14ac:dyDescent="0.25">
      <c r="A3" t="s">
        <v>66</v>
      </c>
      <c r="B3" s="10">
        <v>30984502.129999999</v>
      </c>
      <c r="C3" s="10">
        <f t="shared" ref="C3:C9" si="0">+B3</f>
        <v>30984502.129999999</v>
      </c>
    </row>
    <row r="4" spans="1:3" x14ac:dyDescent="0.25">
      <c r="A4" t="s">
        <v>63</v>
      </c>
      <c r="B4" s="10">
        <v>2578874.36</v>
      </c>
      <c r="C4" s="10">
        <f t="shared" si="0"/>
        <v>2578874.36</v>
      </c>
    </row>
    <row r="5" spans="1:3" x14ac:dyDescent="0.25">
      <c r="A5" t="s">
        <v>67</v>
      </c>
      <c r="B5" s="10">
        <v>1237865.01</v>
      </c>
      <c r="C5" s="10">
        <f t="shared" si="0"/>
        <v>1237865.01</v>
      </c>
    </row>
    <row r="6" spans="1:3" x14ac:dyDescent="0.25">
      <c r="A6" t="s">
        <v>68</v>
      </c>
      <c r="B6" s="10">
        <f>5698865+486101.81</f>
        <v>6184966.8099999996</v>
      </c>
      <c r="C6" s="10">
        <f t="shared" si="0"/>
        <v>6184966.8099999996</v>
      </c>
    </row>
    <row r="7" spans="1:3" x14ac:dyDescent="0.25">
      <c r="A7" t="s">
        <v>69</v>
      </c>
      <c r="B7" s="10">
        <v>2630446.5299999998</v>
      </c>
      <c r="C7" s="10">
        <f t="shared" si="0"/>
        <v>2630446.5299999998</v>
      </c>
    </row>
    <row r="8" spans="1:3" x14ac:dyDescent="0.25">
      <c r="A8" t="s">
        <v>70</v>
      </c>
      <c r="B8" s="10">
        <v>5236899.7</v>
      </c>
      <c r="C8" s="10">
        <f t="shared" si="0"/>
        <v>5236899.7</v>
      </c>
    </row>
    <row r="9" spans="1:3" x14ac:dyDescent="0.25">
      <c r="A9" t="s">
        <v>71</v>
      </c>
      <c r="B9" s="10">
        <f>552795.55+15014510.57+1047246.85</f>
        <v>16614552.970000001</v>
      </c>
      <c r="C9" s="10">
        <f t="shared" si="0"/>
        <v>16614552.970000001</v>
      </c>
    </row>
    <row r="12" spans="1:3" x14ac:dyDescent="0.25">
      <c r="A12" t="s">
        <v>73</v>
      </c>
      <c r="B12" s="10" t="s">
        <v>285</v>
      </c>
      <c r="C12" s="10" t="s">
        <v>286</v>
      </c>
    </row>
    <row r="13" spans="1:3" x14ac:dyDescent="0.25">
      <c r="A13" t="s">
        <v>66</v>
      </c>
      <c r="B13" s="10">
        <v>402742.61</v>
      </c>
      <c r="C13" s="10">
        <f>+B13</f>
        <v>402742.61</v>
      </c>
    </row>
    <row r="14" spans="1:3" x14ac:dyDescent="0.25">
      <c r="A14" t="s">
        <v>63</v>
      </c>
      <c r="B14" s="10">
        <v>2785606.48</v>
      </c>
      <c r="C14" s="10">
        <f>+B14</f>
        <v>2785606.48</v>
      </c>
    </row>
    <row r="15" spans="1:3" x14ac:dyDescent="0.25">
      <c r="A15" t="s">
        <v>67</v>
      </c>
      <c r="B15" s="10">
        <v>6366494.0199999996</v>
      </c>
      <c r="C15" s="10">
        <f>+B15</f>
        <v>6366494.0199999996</v>
      </c>
    </row>
    <row r="16" spans="1:3" x14ac:dyDescent="0.25">
      <c r="A16" t="s">
        <v>68</v>
      </c>
    </row>
    <row r="17" spans="1:6" x14ac:dyDescent="0.25">
      <c r="A17" t="s">
        <v>69</v>
      </c>
      <c r="B17" s="10">
        <v>9175263.1099999994</v>
      </c>
      <c r="C17" s="10">
        <f>+B17</f>
        <v>9175263.1099999994</v>
      </c>
    </row>
    <row r="18" spans="1:6" x14ac:dyDescent="0.25">
      <c r="A18" t="s">
        <v>70</v>
      </c>
      <c r="B18" s="10">
        <v>2903243.7</v>
      </c>
      <c r="C18" s="10">
        <f>+B18</f>
        <v>2903243.7</v>
      </c>
    </row>
    <row r="19" spans="1:6" x14ac:dyDescent="0.25">
      <c r="A19" t="s">
        <v>71</v>
      </c>
      <c r="B19" s="10">
        <f>120006.4+3360179.2+120006.4+6689255.61+840044.8</f>
        <v>11129492.41</v>
      </c>
      <c r="C19" s="10">
        <f>+B19</f>
        <v>11129492.41</v>
      </c>
    </row>
    <row r="21" spans="1:6" x14ac:dyDescent="0.25">
      <c r="A21" t="s">
        <v>48</v>
      </c>
      <c r="B21" s="10" t="s">
        <v>62</v>
      </c>
      <c r="C21" s="10" t="s">
        <v>64</v>
      </c>
    </row>
    <row r="22" spans="1:6" x14ac:dyDescent="0.25">
      <c r="A22" t="s">
        <v>66</v>
      </c>
    </row>
    <row r="23" spans="1:6" x14ac:dyDescent="0.25">
      <c r="A23" t="s">
        <v>63</v>
      </c>
    </row>
    <row r="24" spans="1:6" x14ac:dyDescent="0.25">
      <c r="A24" t="s">
        <v>67</v>
      </c>
    </row>
    <row r="25" spans="1:6" x14ac:dyDescent="0.25">
      <c r="A25" t="s">
        <v>68</v>
      </c>
      <c r="B25" s="10">
        <f>614346.36+4971149.64+1703179.7+3625675.7+3120166.4</f>
        <v>14034517.800000001</v>
      </c>
      <c r="C25" s="10">
        <f>+B25</f>
        <v>14034517.800000001</v>
      </c>
    </row>
    <row r="26" spans="1:6" x14ac:dyDescent="0.25">
      <c r="A26" t="s">
        <v>69</v>
      </c>
      <c r="F26" s="10">
        <f>7/13</f>
        <v>0.53846153846153844</v>
      </c>
    </row>
    <row r="27" spans="1:6" x14ac:dyDescent="0.25">
      <c r="A27" t="s">
        <v>70</v>
      </c>
      <c r="B27" s="10">
        <v>360019.20000000001</v>
      </c>
      <c r="C27" s="10">
        <f>+B27</f>
        <v>360019.20000000001</v>
      </c>
    </row>
    <row r="28" spans="1:6" x14ac:dyDescent="0.25">
      <c r="A28" t="s">
        <v>71</v>
      </c>
      <c r="B28" s="10">
        <f>3240172.8+2160115.2+10556007.3+1560083.2+1200006.4</f>
        <v>18716384.899999999</v>
      </c>
      <c r="C28" s="10">
        <f>+B28</f>
        <v>18716384.899999999</v>
      </c>
    </row>
    <row r="29" spans="1:6" x14ac:dyDescent="0.25">
      <c r="A29" s="29"/>
      <c r="B29" s="21"/>
      <c r="C29" s="21"/>
    </row>
    <row r="30" spans="1:6" x14ac:dyDescent="0.25">
      <c r="A30" s="29" t="s">
        <v>217</v>
      </c>
      <c r="B30" s="21"/>
      <c r="C30" s="21"/>
      <c r="E30" s="10">
        <f>97171620</f>
        <v>97171620</v>
      </c>
      <c r="F30" s="10">
        <f>E30*0.5</f>
        <v>48585810</v>
      </c>
    </row>
    <row r="31" spans="1:6" x14ac:dyDescent="0.25">
      <c r="A31" t="s">
        <v>66</v>
      </c>
      <c r="B31" s="84">
        <f>+B3+B13</f>
        <v>31387244.739999998</v>
      </c>
      <c r="C31" s="10">
        <f t="shared" ref="B31:C33" si="1">+C3+C13</f>
        <v>31387244.739999998</v>
      </c>
      <c r="D31" s="13">
        <f>+B31-C31</f>
        <v>0</v>
      </c>
    </row>
    <row r="32" spans="1:6" x14ac:dyDescent="0.25">
      <c r="A32" t="s">
        <v>63</v>
      </c>
      <c r="B32" s="84">
        <f t="shared" si="1"/>
        <v>5364480.84</v>
      </c>
      <c r="C32" s="10">
        <f t="shared" si="1"/>
        <v>5364480.84</v>
      </c>
      <c r="D32" s="13">
        <f t="shared" ref="D32:D37" si="2">+B32-C32</f>
        <v>0</v>
      </c>
    </row>
    <row r="33" spans="1:5" x14ac:dyDescent="0.25">
      <c r="A33" t="s">
        <v>67</v>
      </c>
      <c r="B33" s="84">
        <f t="shared" si="1"/>
        <v>7604359.0299999993</v>
      </c>
      <c r="C33" s="10">
        <f t="shared" si="1"/>
        <v>7604359.0299999993</v>
      </c>
      <c r="D33" s="13">
        <f t="shared" si="2"/>
        <v>0</v>
      </c>
    </row>
    <row r="34" spans="1:5" x14ac:dyDescent="0.25">
      <c r="A34" t="s">
        <v>68</v>
      </c>
      <c r="B34" s="84">
        <f>+B6+B25</f>
        <v>20219484.609999999</v>
      </c>
      <c r="C34" s="10">
        <f>+C6+C25</f>
        <v>20219484.609999999</v>
      </c>
      <c r="D34" s="13">
        <f t="shared" si="2"/>
        <v>0</v>
      </c>
    </row>
    <row r="35" spans="1:5" x14ac:dyDescent="0.25">
      <c r="A35" t="s">
        <v>69</v>
      </c>
      <c r="B35" s="84">
        <f>+B7+B17</f>
        <v>11805709.639999999</v>
      </c>
      <c r="C35" s="10">
        <f>+C7+C17</f>
        <v>11805709.639999999</v>
      </c>
      <c r="D35" s="13">
        <f t="shared" si="2"/>
        <v>0</v>
      </c>
    </row>
    <row r="36" spans="1:5" x14ac:dyDescent="0.25">
      <c r="A36" t="s">
        <v>70</v>
      </c>
      <c r="B36" s="84">
        <f t="shared" ref="B36:C37" si="3">+B8+B18+B27</f>
        <v>8500162.5999999996</v>
      </c>
      <c r="C36" s="10">
        <f t="shared" si="3"/>
        <v>8500162.5999999996</v>
      </c>
      <c r="D36" s="13">
        <f t="shared" si="2"/>
        <v>0</v>
      </c>
    </row>
    <row r="37" spans="1:5" x14ac:dyDescent="0.25">
      <c r="A37" t="s">
        <v>71</v>
      </c>
      <c r="B37" s="84">
        <f>+B9+B19+B28</f>
        <v>46460430.280000001</v>
      </c>
      <c r="C37" s="10">
        <f t="shared" si="3"/>
        <v>46460430.280000001</v>
      </c>
      <c r="D37" s="13">
        <f t="shared" si="2"/>
        <v>0</v>
      </c>
    </row>
    <row r="41" spans="1:5" x14ac:dyDescent="0.25">
      <c r="C41" s="10">
        <f>10*2784*6*4</f>
        <v>668160</v>
      </c>
    </row>
    <row r="42" spans="1:5" x14ac:dyDescent="0.25">
      <c r="C42" s="10">
        <f>2714*10*7*4</f>
        <v>759920</v>
      </c>
    </row>
    <row r="44" spans="1:5" x14ac:dyDescent="0.25">
      <c r="C44" s="10">
        <f>C42+700000+450000</f>
        <v>1909920</v>
      </c>
    </row>
    <row r="45" spans="1:5" x14ac:dyDescent="0.25">
      <c r="A45" s="7" t="s">
        <v>293</v>
      </c>
    </row>
    <row r="46" spans="1:5" x14ac:dyDescent="0.25">
      <c r="A46" s="1" t="s">
        <v>288</v>
      </c>
      <c r="B46" s="16" t="s">
        <v>294</v>
      </c>
      <c r="C46" s="16"/>
      <c r="D46" s="1" t="s">
        <v>295</v>
      </c>
      <c r="E46" s="16"/>
    </row>
    <row r="47" spans="1:5" x14ac:dyDescent="0.25">
      <c r="A47" s="1" t="s">
        <v>70</v>
      </c>
      <c r="B47" s="16">
        <v>3</v>
      </c>
      <c r="C47" s="16">
        <v>500000</v>
      </c>
      <c r="D47" s="1">
        <v>12</v>
      </c>
      <c r="E47" s="16">
        <f>+B47*C47*D47</f>
        <v>18000000</v>
      </c>
    </row>
    <row r="48" spans="1:5" x14ac:dyDescent="0.25">
      <c r="A48" s="1" t="s">
        <v>66</v>
      </c>
      <c r="B48" s="16">
        <v>1</v>
      </c>
      <c r="C48" s="16">
        <v>750000</v>
      </c>
      <c r="D48" s="1">
        <v>12</v>
      </c>
      <c r="E48" s="16">
        <f t="shared" ref="E48:E54" si="4">+B48*C48*D48</f>
        <v>9000000</v>
      </c>
    </row>
    <row r="49" spans="1:5" x14ac:dyDescent="0.25">
      <c r="A49" s="1" t="s">
        <v>289</v>
      </c>
      <c r="B49" s="16">
        <v>2</v>
      </c>
      <c r="C49" s="16">
        <v>650000</v>
      </c>
      <c r="D49" s="1">
        <v>12</v>
      </c>
      <c r="E49" s="16">
        <f t="shared" si="4"/>
        <v>15600000</v>
      </c>
    </row>
    <row r="50" spans="1:5" x14ac:dyDescent="0.25">
      <c r="A50" s="1"/>
      <c r="B50" s="16"/>
      <c r="C50" s="16"/>
      <c r="D50" s="1"/>
      <c r="E50" s="16">
        <f t="shared" si="4"/>
        <v>0</v>
      </c>
    </row>
    <row r="51" spans="1:5" x14ac:dyDescent="0.25">
      <c r="A51" s="1" t="s">
        <v>290</v>
      </c>
      <c r="B51" s="16"/>
      <c r="C51" s="16"/>
      <c r="D51" s="1"/>
      <c r="E51" s="16">
        <f t="shared" si="4"/>
        <v>0</v>
      </c>
    </row>
    <row r="52" spans="1:5" x14ac:dyDescent="0.25">
      <c r="A52" s="1" t="s">
        <v>291</v>
      </c>
      <c r="B52" s="16">
        <v>3</v>
      </c>
      <c r="C52" s="16">
        <v>250000</v>
      </c>
      <c r="D52" s="1">
        <v>12</v>
      </c>
      <c r="E52" s="16">
        <f>+B52*C52*D52</f>
        <v>9000000</v>
      </c>
    </row>
    <row r="53" spans="1:5" x14ac:dyDescent="0.25">
      <c r="A53" s="1" t="s">
        <v>66</v>
      </c>
      <c r="B53" s="16">
        <v>1</v>
      </c>
      <c r="C53" s="16">
        <v>800000</v>
      </c>
      <c r="D53" s="1">
        <v>12</v>
      </c>
      <c r="E53" s="16">
        <f t="shared" si="4"/>
        <v>9600000</v>
      </c>
    </row>
    <row r="54" spans="1:5" x14ac:dyDescent="0.25">
      <c r="A54" s="1" t="s">
        <v>289</v>
      </c>
      <c r="B54" s="16">
        <v>2</v>
      </c>
      <c r="C54" s="16">
        <v>650000</v>
      </c>
      <c r="D54" s="1">
        <v>12</v>
      </c>
      <c r="E54" s="16">
        <f t="shared" si="4"/>
        <v>15600000</v>
      </c>
    </row>
    <row r="55" spans="1:5" x14ac:dyDescent="0.25">
      <c r="A55" s="1"/>
      <c r="B55" s="16"/>
      <c r="C55" s="16"/>
      <c r="D55" s="1"/>
      <c r="E55" s="16">
        <f>SUM(E47:E54)</f>
        <v>76800000</v>
      </c>
    </row>
    <row r="56" spans="1:5" x14ac:dyDescent="0.25">
      <c r="A56" s="1"/>
      <c r="B56" s="16"/>
      <c r="C56" s="16"/>
      <c r="D56" s="1"/>
      <c r="E56" s="16"/>
    </row>
    <row r="57" spans="1:5" x14ac:dyDescent="0.25">
      <c r="A57" s="1"/>
      <c r="B57" s="16"/>
      <c r="C57" s="16"/>
      <c r="D57" s="1"/>
      <c r="E57" s="16">
        <v>4500000</v>
      </c>
    </row>
    <row r="58" spans="1:5" x14ac:dyDescent="0.25">
      <c r="A58" s="1"/>
      <c r="B58" s="16"/>
      <c r="C58" s="16"/>
      <c r="D58" s="1"/>
      <c r="E58" s="16">
        <f>+D54*E57</f>
        <v>54000000</v>
      </c>
    </row>
    <row r="59" spans="1:5" x14ac:dyDescent="0.25">
      <c r="A59" s="1" t="s">
        <v>292</v>
      </c>
      <c r="B59" s="16"/>
      <c r="C59" s="16"/>
      <c r="D59" s="1"/>
      <c r="E59" s="16"/>
    </row>
    <row r="60" spans="1:5" x14ac:dyDescent="0.25">
      <c r="A60" s="1"/>
      <c r="B60" s="16">
        <v>4</v>
      </c>
      <c r="C60" s="16">
        <v>19000000</v>
      </c>
      <c r="D60" s="1">
        <v>4</v>
      </c>
      <c r="E60" s="17">
        <f>+B60*C60</f>
        <v>76000000</v>
      </c>
    </row>
    <row r="62" spans="1:5" x14ac:dyDescent="0.25">
      <c r="A62" s="1" t="s">
        <v>296</v>
      </c>
      <c r="B62" s="16" t="s">
        <v>299</v>
      </c>
      <c r="C62" s="16" t="s">
        <v>298</v>
      </c>
      <c r="D62" s="1"/>
      <c r="E62" s="16"/>
    </row>
    <row r="63" spans="1:5" x14ac:dyDescent="0.25">
      <c r="A63" s="1" t="s">
        <v>297</v>
      </c>
      <c r="B63" s="16">
        <v>13141.5</v>
      </c>
      <c r="C63" s="16">
        <v>2734</v>
      </c>
      <c r="D63" s="1"/>
      <c r="E63" s="16">
        <f>+B63*C63</f>
        <v>35928861</v>
      </c>
    </row>
    <row r="64" spans="1:5" x14ac:dyDescent="0.25">
      <c r="A64" s="1" t="s">
        <v>66</v>
      </c>
      <c r="B64" s="16">
        <v>282.32</v>
      </c>
      <c r="C64" s="16">
        <v>2734</v>
      </c>
      <c r="D64" s="1"/>
      <c r="E64" s="16">
        <f>+B64*C64</f>
        <v>771862.88</v>
      </c>
    </row>
    <row r="65" spans="1:5" x14ac:dyDescent="0.25">
      <c r="A65" s="1"/>
      <c r="B65" s="16"/>
      <c r="C65" s="16"/>
      <c r="D65" s="1"/>
      <c r="E65" s="16">
        <f>SUM(E63:E64)</f>
        <v>36700723.880000003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6" workbookViewId="0">
      <selection activeCell="A6" sqref="A6"/>
    </sheetView>
  </sheetViews>
  <sheetFormatPr defaultRowHeight="18.75" x14ac:dyDescent="0.3"/>
  <cols>
    <col min="1" max="1" width="11.5703125" style="30" bestFit="1" customWidth="1"/>
    <col min="2" max="6" width="9.140625" style="30"/>
    <col min="7" max="7" width="9.28515625" style="30" bestFit="1" customWidth="1"/>
    <col min="8" max="8" width="18" style="30" bestFit="1" customWidth="1"/>
    <col min="9" max="9" width="9.28515625" style="30" bestFit="1" customWidth="1"/>
    <col min="10" max="10" width="47.28515625" style="30" bestFit="1" customWidth="1"/>
    <col min="11" max="11" width="16.42578125" style="30" bestFit="1" customWidth="1"/>
    <col min="12" max="12" width="12.7109375" style="30" bestFit="1" customWidth="1"/>
    <col min="13" max="13" width="18" style="30" bestFit="1" customWidth="1"/>
    <col min="14" max="14" width="9.85546875" style="30" bestFit="1" customWidth="1"/>
    <col min="15" max="15" width="9.140625" style="30"/>
    <col min="16" max="16" width="9.28515625" style="30" bestFit="1" customWidth="1"/>
    <col min="17" max="17" width="9.140625" style="30"/>
    <col min="18" max="20" width="9.28515625" style="30" bestFit="1" customWidth="1"/>
    <col min="21" max="23" width="9.140625" style="30"/>
    <col min="24" max="24" width="9.28515625" style="30" bestFit="1" customWidth="1"/>
    <col min="25" max="25" width="11.28515625" style="30" bestFit="1" customWidth="1"/>
    <col min="26" max="26" width="9.140625" style="30"/>
    <col min="27" max="27" width="9.28515625" style="30" bestFit="1" customWidth="1"/>
    <col min="28" max="16384" width="9.140625" style="30"/>
  </cols>
  <sheetData>
    <row r="1" spans="1:29" x14ac:dyDescent="0.3">
      <c r="A1" s="30" t="s">
        <v>75</v>
      </c>
      <c r="B1" s="30" t="s">
        <v>76</v>
      </c>
      <c r="C1" s="30" t="s">
        <v>77</v>
      </c>
      <c r="D1" s="30" t="s">
        <v>78</v>
      </c>
      <c r="E1" s="30" t="s">
        <v>79</v>
      </c>
      <c r="F1" s="30" t="s">
        <v>80</v>
      </c>
      <c r="G1" s="30" t="s">
        <v>81</v>
      </c>
      <c r="H1" s="30" t="s">
        <v>82</v>
      </c>
      <c r="I1" s="30" t="s">
        <v>83</v>
      </c>
      <c r="J1" s="30" t="s">
        <v>84</v>
      </c>
      <c r="K1" s="30" t="s">
        <v>85</v>
      </c>
      <c r="L1" s="30" t="s">
        <v>86</v>
      </c>
      <c r="M1" s="30" t="s">
        <v>87</v>
      </c>
      <c r="N1" s="30" t="s">
        <v>88</v>
      </c>
      <c r="O1" s="30" t="s">
        <v>89</v>
      </c>
      <c r="P1" s="30" t="s">
        <v>90</v>
      </c>
      <c r="Q1" s="30" t="s">
        <v>91</v>
      </c>
      <c r="R1" s="30" t="s">
        <v>92</v>
      </c>
      <c r="S1" s="30" t="s">
        <v>93</v>
      </c>
      <c r="T1" s="30" t="s">
        <v>94</v>
      </c>
      <c r="U1" s="30" t="s">
        <v>95</v>
      </c>
      <c r="V1" s="30" t="s">
        <v>96</v>
      </c>
      <c r="W1" s="30" t="s">
        <v>97</v>
      </c>
      <c r="X1" s="30" t="s">
        <v>98</v>
      </c>
      <c r="Y1" s="30" t="s">
        <v>99</v>
      </c>
      <c r="Z1" s="30" t="s">
        <v>100</v>
      </c>
      <c r="AA1" s="30" t="s">
        <v>101</v>
      </c>
      <c r="AB1" s="30" t="s">
        <v>102</v>
      </c>
      <c r="AC1" s="30" t="s">
        <v>103</v>
      </c>
    </row>
    <row r="2" spans="1:29" x14ac:dyDescent="0.3">
      <c r="A2" s="31">
        <v>45359</v>
      </c>
      <c r="B2" s="30" t="s">
        <v>104</v>
      </c>
      <c r="C2" s="30" t="s">
        <v>105</v>
      </c>
      <c r="D2" s="30" t="s">
        <v>106</v>
      </c>
      <c r="E2" s="30" t="s">
        <v>107</v>
      </c>
      <c r="G2" s="30">
        <v>3512</v>
      </c>
      <c r="H2" s="32">
        <v>231385.75</v>
      </c>
      <c r="I2" s="30" t="s">
        <v>108</v>
      </c>
      <c r="J2" s="30" t="s">
        <v>109</v>
      </c>
      <c r="L2" s="30" t="s">
        <v>106</v>
      </c>
      <c r="M2" s="32">
        <v>231385.75</v>
      </c>
      <c r="N2" s="30">
        <v>220104</v>
      </c>
      <c r="O2" s="30" t="s">
        <v>110</v>
      </c>
      <c r="P2" s="30" t="s">
        <v>108</v>
      </c>
      <c r="Q2" s="30" t="s">
        <v>111</v>
      </c>
      <c r="R2" s="30">
        <v>601</v>
      </c>
      <c r="S2" s="30">
        <v>5</v>
      </c>
      <c r="T2" s="30">
        <v>23030</v>
      </c>
      <c r="V2" s="30" t="s">
        <v>112</v>
      </c>
      <c r="W2" s="30" t="s">
        <v>113</v>
      </c>
      <c r="Y2" s="30">
        <v>8881261</v>
      </c>
      <c r="Z2" s="30" t="s">
        <v>114</v>
      </c>
      <c r="AA2" s="30">
        <v>4053</v>
      </c>
      <c r="AC2" s="30" t="s">
        <v>115</v>
      </c>
    </row>
    <row r="3" spans="1:29" x14ac:dyDescent="0.3">
      <c r="A3" s="31">
        <v>45359</v>
      </c>
      <c r="B3" s="30" t="s">
        <v>104</v>
      </c>
      <c r="C3" s="30" t="s">
        <v>116</v>
      </c>
      <c r="D3" s="30" t="s">
        <v>117</v>
      </c>
      <c r="E3" s="30" t="s">
        <v>107</v>
      </c>
      <c r="G3" s="30">
        <v>3512</v>
      </c>
      <c r="I3" s="30">
        <v>80</v>
      </c>
      <c r="J3" s="30" t="s">
        <v>118</v>
      </c>
      <c r="K3" s="30">
        <v>200</v>
      </c>
      <c r="L3" s="30" t="s">
        <v>117</v>
      </c>
      <c r="M3" s="30">
        <v>-200</v>
      </c>
      <c r="O3" s="30" t="s">
        <v>119</v>
      </c>
      <c r="P3" s="30">
        <v>80</v>
      </c>
      <c r="Q3" s="30" t="s">
        <v>120</v>
      </c>
      <c r="V3" s="30" t="s">
        <v>112</v>
      </c>
      <c r="W3" s="30" t="s">
        <v>121</v>
      </c>
      <c r="X3" s="30" t="s">
        <v>122</v>
      </c>
      <c r="Y3" s="30">
        <v>8882318</v>
      </c>
      <c r="Z3" s="30" t="s">
        <v>121</v>
      </c>
      <c r="AA3" s="30" t="s">
        <v>122</v>
      </c>
      <c r="AC3" s="30" t="s">
        <v>115</v>
      </c>
    </row>
    <row r="4" spans="1:29" x14ac:dyDescent="0.3">
      <c r="A4" s="31">
        <v>45315</v>
      </c>
      <c r="B4" s="30" t="s">
        <v>123</v>
      </c>
      <c r="C4" s="30" t="s">
        <v>116</v>
      </c>
      <c r="D4" s="30" t="s">
        <v>124</v>
      </c>
      <c r="E4" s="30" t="s">
        <v>107</v>
      </c>
      <c r="G4" s="30">
        <v>3512</v>
      </c>
      <c r="H4" s="32">
        <v>1173115</v>
      </c>
      <c r="I4" s="30">
        <v>80</v>
      </c>
      <c r="J4" s="30" t="s">
        <v>125</v>
      </c>
      <c r="L4" s="30">
        <v>1179</v>
      </c>
      <c r="M4" s="32">
        <v>1173115</v>
      </c>
      <c r="N4" s="30">
        <v>800101</v>
      </c>
      <c r="O4" s="30" t="s">
        <v>119</v>
      </c>
      <c r="P4" s="30">
        <v>80</v>
      </c>
      <c r="Q4" s="30" t="s">
        <v>126</v>
      </c>
      <c r="R4" s="30">
        <v>601</v>
      </c>
      <c r="S4" s="30">
        <v>1</v>
      </c>
      <c r="T4" s="30">
        <v>50070</v>
      </c>
      <c r="V4" s="30" t="s">
        <v>112</v>
      </c>
      <c r="W4" s="30" t="s">
        <v>121</v>
      </c>
      <c r="X4" s="30" t="s">
        <v>127</v>
      </c>
      <c r="Y4" s="30">
        <v>8619831</v>
      </c>
      <c r="Z4" s="30" t="s">
        <v>114</v>
      </c>
      <c r="AC4" s="30" t="s">
        <v>115</v>
      </c>
    </row>
    <row r="5" spans="1:29" x14ac:dyDescent="0.3">
      <c r="A5" s="31">
        <v>45319</v>
      </c>
      <c r="B5" s="30" t="s">
        <v>113</v>
      </c>
      <c r="C5" s="30" t="s">
        <v>116</v>
      </c>
      <c r="D5" s="30" t="s">
        <v>128</v>
      </c>
      <c r="E5" s="30" t="s">
        <v>107</v>
      </c>
      <c r="G5" s="30">
        <v>3512</v>
      </c>
      <c r="H5" s="32">
        <v>40674347.880000003</v>
      </c>
      <c r="I5" s="30">
        <v>80</v>
      </c>
      <c r="J5" s="30" t="s">
        <v>129</v>
      </c>
      <c r="L5" s="30" t="s">
        <v>128</v>
      </c>
      <c r="M5" s="32">
        <v>40674347.880000003</v>
      </c>
      <c r="N5" s="30">
        <v>800101</v>
      </c>
      <c r="O5" s="30" t="s">
        <v>119</v>
      </c>
      <c r="P5" s="30">
        <v>80</v>
      </c>
      <c r="Q5" s="30" t="s">
        <v>130</v>
      </c>
      <c r="R5" s="30">
        <v>601</v>
      </c>
      <c r="S5" s="30">
        <v>1</v>
      </c>
      <c r="T5" s="30">
        <v>50070</v>
      </c>
      <c r="V5" s="30" t="s">
        <v>112</v>
      </c>
      <c r="W5" s="30" t="s">
        <v>131</v>
      </c>
      <c r="X5" s="30">
        <v>8732</v>
      </c>
      <c r="Y5" s="30">
        <v>8623951</v>
      </c>
      <c r="Z5" s="30" t="s">
        <v>131</v>
      </c>
      <c r="AA5" s="30">
        <v>8732</v>
      </c>
      <c r="AC5" s="30" t="s">
        <v>115</v>
      </c>
    </row>
    <row r="6" spans="1:29" x14ac:dyDescent="0.3">
      <c r="A6" s="31">
        <v>45324</v>
      </c>
      <c r="B6" s="30" t="s">
        <v>123</v>
      </c>
      <c r="C6" s="30" t="s">
        <v>116</v>
      </c>
      <c r="D6" s="30" t="s">
        <v>132</v>
      </c>
      <c r="E6" s="30" t="s">
        <v>107</v>
      </c>
      <c r="G6" s="30">
        <v>3512</v>
      </c>
      <c r="H6" s="32">
        <v>251044.96</v>
      </c>
      <c r="I6" s="30">
        <v>80</v>
      </c>
      <c r="J6" s="30" t="s">
        <v>133</v>
      </c>
      <c r="L6" s="30" t="s">
        <v>134</v>
      </c>
      <c r="M6" s="32">
        <v>251044.96</v>
      </c>
      <c r="N6" s="30">
        <v>800101</v>
      </c>
      <c r="O6" s="30" t="s">
        <v>119</v>
      </c>
      <c r="P6" s="30">
        <v>80</v>
      </c>
      <c r="Q6" s="30" t="s">
        <v>135</v>
      </c>
      <c r="R6" s="30">
        <v>601</v>
      </c>
      <c r="S6" s="30">
        <v>1</v>
      </c>
      <c r="T6" s="30">
        <v>50070</v>
      </c>
      <c r="V6" s="30" t="s">
        <v>112</v>
      </c>
      <c r="W6" s="30" t="s">
        <v>121</v>
      </c>
      <c r="X6" s="30" t="s">
        <v>136</v>
      </c>
      <c r="Y6" s="30">
        <v>8623845</v>
      </c>
      <c r="Z6" s="30" t="s">
        <v>114</v>
      </c>
      <c r="AC6" s="30" t="s">
        <v>115</v>
      </c>
    </row>
    <row r="7" spans="1:29" x14ac:dyDescent="0.3">
      <c r="A7" s="31">
        <v>45330</v>
      </c>
      <c r="B7" s="30" t="s">
        <v>104</v>
      </c>
      <c r="C7" s="30" t="s">
        <v>116</v>
      </c>
      <c r="D7" s="30" t="s">
        <v>137</v>
      </c>
      <c r="E7" s="30" t="s">
        <v>107</v>
      </c>
      <c r="G7" s="30">
        <v>3512</v>
      </c>
      <c r="I7" s="30">
        <v>80</v>
      </c>
      <c r="J7" s="30" t="s">
        <v>138</v>
      </c>
      <c r="K7" s="32">
        <v>1400500</v>
      </c>
      <c r="L7" s="30" t="s">
        <v>137</v>
      </c>
      <c r="M7" s="32">
        <v>-1400500</v>
      </c>
      <c r="N7" s="30">
        <v>800101</v>
      </c>
      <c r="O7" s="30" t="s">
        <v>119</v>
      </c>
      <c r="P7" s="30">
        <v>80</v>
      </c>
      <c r="Q7" s="30" t="s">
        <v>139</v>
      </c>
      <c r="R7" s="30">
        <v>601</v>
      </c>
      <c r="S7" s="30">
        <v>1</v>
      </c>
      <c r="T7" s="30">
        <v>50070</v>
      </c>
      <c r="V7" s="30" t="s">
        <v>112</v>
      </c>
      <c r="W7" s="30" t="s">
        <v>131</v>
      </c>
      <c r="X7" s="30">
        <v>8732</v>
      </c>
      <c r="Y7" s="30">
        <v>8867668</v>
      </c>
      <c r="Z7" s="30" t="s">
        <v>131</v>
      </c>
      <c r="AA7" s="30">
        <v>8732</v>
      </c>
      <c r="AC7" s="30" t="s">
        <v>115</v>
      </c>
    </row>
    <row r="8" spans="1:29" x14ac:dyDescent="0.3">
      <c r="A8" s="31">
        <v>45331</v>
      </c>
      <c r="B8" s="30" t="s">
        <v>123</v>
      </c>
      <c r="C8" s="30" t="s">
        <v>116</v>
      </c>
      <c r="D8" s="30" t="s">
        <v>140</v>
      </c>
      <c r="E8" s="30" t="s">
        <v>107</v>
      </c>
      <c r="G8" s="30">
        <v>3512</v>
      </c>
      <c r="H8" s="32">
        <v>1336329.77</v>
      </c>
      <c r="I8" s="30">
        <v>80</v>
      </c>
      <c r="J8" s="30" t="s">
        <v>141</v>
      </c>
      <c r="L8" s="30">
        <v>3475</v>
      </c>
      <c r="M8" s="32">
        <v>1336329.77</v>
      </c>
      <c r="N8" s="30">
        <v>800101</v>
      </c>
      <c r="O8" s="30" t="s">
        <v>119</v>
      </c>
      <c r="P8" s="30">
        <v>80</v>
      </c>
      <c r="Q8" s="30" t="s">
        <v>142</v>
      </c>
      <c r="R8" s="30">
        <v>601</v>
      </c>
      <c r="S8" s="30">
        <v>1</v>
      </c>
      <c r="T8" s="30">
        <v>50070</v>
      </c>
      <c r="V8" s="30" t="s">
        <v>112</v>
      </c>
      <c r="W8" s="30" t="s">
        <v>121</v>
      </c>
      <c r="X8" s="30" t="s">
        <v>143</v>
      </c>
      <c r="Y8" s="30">
        <v>8627144</v>
      </c>
      <c r="Z8" s="30" t="s">
        <v>114</v>
      </c>
      <c r="AC8" s="30" t="s">
        <v>115</v>
      </c>
    </row>
    <row r="9" spans="1:29" x14ac:dyDescent="0.3">
      <c r="A9" s="31">
        <v>45331</v>
      </c>
      <c r="B9" s="30" t="s">
        <v>123</v>
      </c>
      <c r="C9" s="30" t="s">
        <v>116</v>
      </c>
      <c r="D9" s="30" t="s">
        <v>144</v>
      </c>
      <c r="E9" s="30" t="s">
        <v>107</v>
      </c>
      <c r="G9" s="30">
        <v>3512</v>
      </c>
      <c r="H9" s="32">
        <v>168486.96</v>
      </c>
      <c r="I9" s="30">
        <v>80</v>
      </c>
      <c r="J9" s="30" t="s">
        <v>145</v>
      </c>
      <c r="L9" s="30">
        <v>3360</v>
      </c>
      <c r="M9" s="32">
        <v>168486.96</v>
      </c>
      <c r="N9" s="30">
        <v>800101</v>
      </c>
      <c r="O9" s="30" t="s">
        <v>119</v>
      </c>
      <c r="P9" s="30">
        <v>80</v>
      </c>
      <c r="Q9" s="30" t="s">
        <v>146</v>
      </c>
      <c r="R9" s="30">
        <v>601</v>
      </c>
      <c r="S9" s="30">
        <v>1</v>
      </c>
      <c r="T9" s="30">
        <v>50070</v>
      </c>
      <c r="V9" s="30" t="s">
        <v>112</v>
      </c>
      <c r="W9" s="30" t="s">
        <v>121</v>
      </c>
      <c r="X9" s="30" t="s">
        <v>143</v>
      </c>
      <c r="Y9" s="30">
        <v>8627148</v>
      </c>
      <c r="Z9" s="30" t="s">
        <v>114</v>
      </c>
      <c r="AC9" s="30" t="s">
        <v>115</v>
      </c>
    </row>
    <row r="10" spans="1:29" x14ac:dyDescent="0.3">
      <c r="A10" s="31">
        <v>45331</v>
      </c>
      <c r="B10" s="30" t="s">
        <v>123</v>
      </c>
      <c r="C10" s="30" t="s">
        <v>116</v>
      </c>
      <c r="D10" s="30" t="s">
        <v>147</v>
      </c>
      <c r="E10" s="30" t="s">
        <v>107</v>
      </c>
      <c r="G10" s="30">
        <v>3512</v>
      </c>
      <c r="H10" s="32">
        <v>1424290.17</v>
      </c>
      <c r="I10" s="30">
        <v>80</v>
      </c>
      <c r="J10" s="30" t="s">
        <v>148</v>
      </c>
      <c r="L10" s="30">
        <v>3310</v>
      </c>
      <c r="M10" s="32">
        <v>1424290.17</v>
      </c>
      <c r="N10" s="30">
        <v>800101</v>
      </c>
      <c r="O10" s="30" t="s">
        <v>119</v>
      </c>
      <c r="P10" s="30">
        <v>80</v>
      </c>
      <c r="Q10" s="30" t="s">
        <v>149</v>
      </c>
      <c r="R10" s="30">
        <v>601</v>
      </c>
      <c r="S10" s="30">
        <v>1</v>
      </c>
      <c r="T10" s="30">
        <v>50070</v>
      </c>
      <c r="V10" s="30" t="s">
        <v>112</v>
      </c>
      <c r="W10" s="30" t="s">
        <v>121</v>
      </c>
      <c r="X10" s="30" t="s">
        <v>143</v>
      </c>
      <c r="Y10" s="30">
        <v>8627152</v>
      </c>
      <c r="Z10" s="30" t="s">
        <v>114</v>
      </c>
      <c r="AC10" s="30" t="s">
        <v>115</v>
      </c>
    </row>
    <row r="11" spans="1:29" x14ac:dyDescent="0.3">
      <c r="A11" s="31">
        <v>45331</v>
      </c>
      <c r="B11" s="30" t="s">
        <v>123</v>
      </c>
      <c r="C11" s="30" t="s">
        <v>116</v>
      </c>
      <c r="D11" s="30" t="s">
        <v>150</v>
      </c>
      <c r="E11" s="30" t="s">
        <v>107</v>
      </c>
      <c r="G11" s="30">
        <v>3512</v>
      </c>
      <c r="H11" s="32">
        <v>128150</v>
      </c>
      <c r="I11" s="30">
        <v>80</v>
      </c>
      <c r="J11" s="30" t="s">
        <v>148</v>
      </c>
      <c r="L11" s="30">
        <v>3536</v>
      </c>
      <c r="M11" s="32">
        <v>128150</v>
      </c>
      <c r="N11" s="30">
        <v>800101</v>
      </c>
      <c r="O11" s="30" t="s">
        <v>119</v>
      </c>
      <c r="P11" s="30">
        <v>80</v>
      </c>
      <c r="Q11" s="30" t="s">
        <v>151</v>
      </c>
      <c r="R11" s="30">
        <v>601</v>
      </c>
      <c r="S11" s="30">
        <v>1</v>
      </c>
      <c r="T11" s="30">
        <v>50070</v>
      </c>
      <c r="V11" s="30" t="s">
        <v>112</v>
      </c>
      <c r="W11" s="30" t="s">
        <v>121</v>
      </c>
      <c r="X11" s="30" t="s">
        <v>143</v>
      </c>
      <c r="Y11" s="30">
        <v>8627156</v>
      </c>
      <c r="Z11" s="30" t="s">
        <v>114</v>
      </c>
      <c r="AC11" s="30" t="s">
        <v>115</v>
      </c>
    </row>
    <row r="12" spans="1:29" x14ac:dyDescent="0.3">
      <c r="A12" s="31">
        <v>45331</v>
      </c>
      <c r="B12" s="30" t="s">
        <v>123</v>
      </c>
      <c r="C12" s="30" t="s">
        <v>116</v>
      </c>
      <c r="D12" s="30" t="s">
        <v>152</v>
      </c>
      <c r="E12" s="30" t="s">
        <v>107</v>
      </c>
      <c r="G12" s="30">
        <v>3512</v>
      </c>
      <c r="H12" s="32">
        <v>309351.32</v>
      </c>
      <c r="I12" s="30">
        <v>80</v>
      </c>
      <c r="J12" s="30" t="s">
        <v>153</v>
      </c>
      <c r="L12" s="30">
        <v>3332</v>
      </c>
      <c r="M12" s="32">
        <v>309351.32</v>
      </c>
      <c r="N12" s="30">
        <v>800101</v>
      </c>
      <c r="O12" s="30" t="s">
        <v>119</v>
      </c>
      <c r="P12" s="30">
        <v>80</v>
      </c>
      <c r="Q12" s="30" t="s">
        <v>154</v>
      </c>
      <c r="R12" s="30">
        <v>601</v>
      </c>
      <c r="S12" s="30">
        <v>1</v>
      </c>
      <c r="T12" s="30">
        <v>50070</v>
      </c>
      <c r="V12" s="30" t="s">
        <v>112</v>
      </c>
      <c r="W12" s="30" t="s">
        <v>121</v>
      </c>
      <c r="X12" s="30" t="s">
        <v>143</v>
      </c>
      <c r="Y12" s="30">
        <v>8627160</v>
      </c>
      <c r="Z12" s="30" t="s">
        <v>114</v>
      </c>
      <c r="AC12" s="30" t="s">
        <v>115</v>
      </c>
    </row>
    <row r="13" spans="1:29" x14ac:dyDescent="0.3">
      <c r="A13" s="31">
        <v>45331</v>
      </c>
      <c r="B13" s="30" t="s">
        <v>123</v>
      </c>
      <c r="C13" s="30" t="s">
        <v>116</v>
      </c>
      <c r="D13" s="30" t="s">
        <v>155</v>
      </c>
      <c r="E13" s="30" t="s">
        <v>107</v>
      </c>
      <c r="G13" s="30">
        <v>3512</v>
      </c>
      <c r="H13" s="32">
        <v>1480210.17</v>
      </c>
      <c r="I13" s="30">
        <v>80</v>
      </c>
      <c r="J13" s="30" t="s">
        <v>156</v>
      </c>
      <c r="L13" s="30">
        <v>3311</v>
      </c>
      <c r="M13" s="32">
        <v>1480210.17</v>
      </c>
      <c r="N13" s="30">
        <v>800101</v>
      </c>
      <c r="O13" s="30" t="s">
        <v>119</v>
      </c>
      <c r="P13" s="30">
        <v>80</v>
      </c>
      <c r="Q13" s="30" t="s">
        <v>157</v>
      </c>
      <c r="R13" s="30">
        <v>601</v>
      </c>
      <c r="S13" s="30">
        <v>1</v>
      </c>
      <c r="T13" s="30">
        <v>50070</v>
      </c>
      <c r="V13" s="30" t="s">
        <v>112</v>
      </c>
      <c r="W13" s="30" t="s">
        <v>121</v>
      </c>
      <c r="X13" s="30" t="s">
        <v>143</v>
      </c>
      <c r="Y13" s="30">
        <v>8627164</v>
      </c>
      <c r="Z13" s="30" t="s">
        <v>114</v>
      </c>
      <c r="AC13" s="30" t="s">
        <v>115</v>
      </c>
    </row>
    <row r="14" spans="1:29" x14ac:dyDescent="0.3">
      <c r="A14" s="31">
        <v>45331</v>
      </c>
      <c r="B14" s="30" t="s">
        <v>123</v>
      </c>
      <c r="C14" s="30" t="s">
        <v>116</v>
      </c>
      <c r="D14" s="30" t="s">
        <v>158</v>
      </c>
      <c r="E14" s="30" t="s">
        <v>107</v>
      </c>
      <c r="G14" s="30">
        <v>3512</v>
      </c>
      <c r="H14" s="32">
        <v>822704.95</v>
      </c>
      <c r="I14" s="30">
        <v>80</v>
      </c>
      <c r="J14" s="30" t="s">
        <v>159</v>
      </c>
      <c r="L14" s="30">
        <v>3504</v>
      </c>
      <c r="M14" s="32">
        <v>822704.95</v>
      </c>
      <c r="N14" s="30">
        <v>800101</v>
      </c>
      <c r="O14" s="30" t="s">
        <v>119</v>
      </c>
      <c r="P14" s="30">
        <v>80</v>
      </c>
      <c r="Q14" s="30" t="s">
        <v>160</v>
      </c>
      <c r="R14" s="30">
        <v>601</v>
      </c>
      <c r="S14" s="30">
        <v>1</v>
      </c>
      <c r="T14" s="30">
        <v>50070</v>
      </c>
      <c r="V14" s="30" t="s">
        <v>112</v>
      </c>
      <c r="W14" s="30" t="s">
        <v>121</v>
      </c>
      <c r="X14" s="30" t="s">
        <v>143</v>
      </c>
      <c r="Y14" s="30">
        <v>8627168</v>
      </c>
      <c r="Z14" s="30" t="s">
        <v>114</v>
      </c>
      <c r="AC14" s="30" t="s">
        <v>115</v>
      </c>
    </row>
    <row r="15" spans="1:29" x14ac:dyDescent="0.3">
      <c r="A15" s="31">
        <v>45331</v>
      </c>
      <c r="B15" s="30" t="s">
        <v>123</v>
      </c>
      <c r="C15" s="30" t="s">
        <v>116</v>
      </c>
      <c r="D15" s="30" t="s">
        <v>161</v>
      </c>
      <c r="E15" s="30" t="s">
        <v>107</v>
      </c>
      <c r="G15" s="30">
        <v>3512</v>
      </c>
      <c r="H15" s="32">
        <v>931622.54</v>
      </c>
      <c r="I15" s="30">
        <v>80</v>
      </c>
      <c r="J15" s="30" t="s">
        <v>162</v>
      </c>
      <c r="L15" s="30">
        <v>3544</v>
      </c>
      <c r="M15" s="32">
        <v>931622.54</v>
      </c>
      <c r="N15" s="30">
        <v>800101</v>
      </c>
      <c r="O15" s="30" t="s">
        <v>119</v>
      </c>
      <c r="P15" s="30">
        <v>80</v>
      </c>
      <c r="Q15" s="30" t="s">
        <v>163</v>
      </c>
      <c r="R15" s="30">
        <v>601</v>
      </c>
      <c r="S15" s="30">
        <v>1</v>
      </c>
      <c r="T15" s="30">
        <v>50070</v>
      </c>
      <c r="V15" s="30" t="s">
        <v>112</v>
      </c>
      <c r="W15" s="30" t="s">
        <v>121</v>
      </c>
      <c r="X15" s="30" t="s">
        <v>143</v>
      </c>
      <c r="Y15" s="30">
        <v>8627172</v>
      </c>
      <c r="Z15" s="30" t="s">
        <v>114</v>
      </c>
      <c r="AC15" s="30" t="s">
        <v>115</v>
      </c>
    </row>
    <row r="16" spans="1:29" x14ac:dyDescent="0.3">
      <c r="A16" s="31">
        <v>45331</v>
      </c>
      <c r="B16" s="30" t="s">
        <v>104</v>
      </c>
      <c r="C16" s="30" t="s">
        <v>116</v>
      </c>
      <c r="D16" s="30" t="s">
        <v>164</v>
      </c>
      <c r="E16" s="30" t="s">
        <v>107</v>
      </c>
      <c r="F16" s="30" t="s">
        <v>165</v>
      </c>
      <c r="G16" s="30">
        <v>3512</v>
      </c>
      <c r="H16" s="32">
        <v>47000</v>
      </c>
      <c r="I16" s="30">
        <v>80</v>
      </c>
      <c r="J16" s="30" t="s">
        <v>166</v>
      </c>
      <c r="L16" s="30">
        <v>8326</v>
      </c>
      <c r="M16" s="32">
        <v>47000</v>
      </c>
      <c r="N16" s="30">
        <v>800101</v>
      </c>
      <c r="O16" s="30" t="s">
        <v>119</v>
      </c>
      <c r="P16" s="30">
        <v>80</v>
      </c>
      <c r="Q16" s="30" t="s">
        <v>167</v>
      </c>
      <c r="R16" s="30">
        <v>601</v>
      </c>
      <c r="S16" s="30">
        <v>1</v>
      </c>
      <c r="T16" s="30">
        <v>50070</v>
      </c>
      <c r="V16" s="30" t="s">
        <v>112</v>
      </c>
      <c r="W16" s="30" t="s">
        <v>131</v>
      </c>
      <c r="X16" s="30">
        <v>8732</v>
      </c>
      <c r="Y16" s="30">
        <v>8627604</v>
      </c>
      <c r="Z16" s="30" t="s">
        <v>131</v>
      </c>
      <c r="AA16" s="30">
        <v>8732</v>
      </c>
      <c r="AC16" s="30" t="s">
        <v>115</v>
      </c>
    </row>
    <row r="17" spans="1:29" x14ac:dyDescent="0.3">
      <c r="A17" s="31">
        <v>45336</v>
      </c>
      <c r="B17" s="30" t="s">
        <v>123</v>
      </c>
      <c r="C17" s="30" t="s">
        <v>116</v>
      </c>
      <c r="D17" s="30" t="s">
        <v>168</v>
      </c>
      <c r="E17" s="30" t="s">
        <v>107</v>
      </c>
      <c r="G17" s="30">
        <v>3512</v>
      </c>
      <c r="H17" s="32">
        <v>537452.34</v>
      </c>
      <c r="I17" s="30">
        <v>80</v>
      </c>
      <c r="J17" s="30" t="s">
        <v>169</v>
      </c>
      <c r="L17" s="30">
        <v>90628233</v>
      </c>
      <c r="M17" s="32">
        <v>537452.34</v>
      </c>
      <c r="N17" s="30">
        <v>800101</v>
      </c>
      <c r="O17" s="30" t="s">
        <v>119</v>
      </c>
      <c r="P17" s="30">
        <v>80</v>
      </c>
      <c r="Q17" s="30" t="s">
        <v>170</v>
      </c>
      <c r="R17" s="30">
        <v>601</v>
      </c>
      <c r="S17" s="30">
        <v>1</v>
      </c>
      <c r="T17" s="30">
        <v>50070</v>
      </c>
      <c r="V17" s="30" t="s">
        <v>112</v>
      </c>
      <c r="W17" s="30" t="s">
        <v>121</v>
      </c>
      <c r="X17" s="30" t="s">
        <v>136</v>
      </c>
      <c r="Y17" s="30">
        <v>8628282</v>
      </c>
      <c r="Z17" s="30" t="s">
        <v>114</v>
      </c>
      <c r="AC17" s="30" t="s">
        <v>115</v>
      </c>
    </row>
    <row r="18" spans="1:29" x14ac:dyDescent="0.3">
      <c r="A18" s="31">
        <v>45337</v>
      </c>
      <c r="B18" s="30" t="s">
        <v>104</v>
      </c>
      <c r="C18" s="30" t="s">
        <v>116</v>
      </c>
      <c r="D18" s="30" t="s">
        <v>171</v>
      </c>
      <c r="E18" s="30" t="s">
        <v>107</v>
      </c>
      <c r="F18" s="30" t="s">
        <v>165</v>
      </c>
      <c r="G18" s="30">
        <v>3512</v>
      </c>
      <c r="H18" s="32">
        <v>53000</v>
      </c>
      <c r="I18" s="30">
        <v>80</v>
      </c>
      <c r="J18" s="30" t="s">
        <v>172</v>
      </c>
      <c r="L18" s="30">
        <v>8370</v>
      </c>
      <c r="M18" s="32">
        <v>53000</v>
      </c>
      <c r="N18" s="30">
        <v>800101</v>
      </c>
      <c r="O18" s="30" t="s">
        <v>119</v>
      </c>
      <c r="P18" s="30">
        <v>80</v>
      </c>
      <c r="Q18" s="30" t="s">
        <v>173</v>
      </c>
      <c r="R18" s="30">
        <v>601</v>
      </c>
      <c r="S18" s="30">
        <v>1</v>
      </c>
      <c r="T18" s="30">
        <v>50070</v>
      </c>
      <c r="V18" s="30" t="s">
        <v>112</v>
      </c>
      <c r="W18" s="30" t="s">
        <v>131</v>
      </c>
      <c r="X18" s="30">
        <v>8732</v>
      </c>
      <c r="Y18" s="30">
        <v>8800040</v>
      </c>
      <c r="Z18" s="30" t="s">
        <v>131</v>
      </c>
      <c r="AA18" s="30">
        <v>8732</v>
      </c>
      <c r="AC18" s="30" t="s">
        <v>115</v>
      </c>
    </row>
    <row r="19" spans="1:29" x14ac:dyDescent="0.3">
      <c r="A19" s="31">
        <v>45350</v>
      </c>
      <c r="B19" s="30" t="s">
        <v>113</v>
      </c>
      <c r="C19" s="30" t="s">
        <v>116</v>
      </c>
      <c r="D19" s="30" t="s">
        <v>174</v>
      </c>
      <c r="E19" s="30" t="s">
        <v>107</v>
      </c>
      <c r="F19" s="30" t="s">
        <v>165</v>
      </c>
      <c r="G19" s="30">
        <v>3512</v>
      </c>
      <c r="H19" s="32">
        <v>20000</v>
      </c>
      <c r="I19" s="30">
        <v>80</v>
      </c>
      <c r="J19" s="30" t="s">
        <v>175</v>
      </c>
      <c r="L19" s="30">
        <v>8399</v>
      </c>
      <c r="M19" s="32">
        <v>20000</v>
      </c>
      <c r="N19" s="30">
        <v>800101</v>
      </c>
      <c r="O19" s="30" t="s">
        <v>119</v>
      </c>
      <c r="P19" s="30">
        <v>80</v>
      </c>
      <c r="Q19" s="30" t="s">
        <v>176</v>
      </c>
      <c r="R19" s="30">
        <v>601</v>
      </c>
      <c r="S19" s="30">
        <v>1</v>
      </c>
      <c r="T19" s="30">
        <v>50070</v>
      </c>
      <c r="V19" s="30" t="s">
        <v>112</v>
      </c>
      <c r="W19" s="30" t="s">
        <v>131</v>
      </c>
      <c r="X19" s="30">
        <v>8732</v>
      </c>
      <c r="Y19" s="30">
        <v>8848370</v>
      </c>
      <c r="Z19" s="30" t="s">
        <v>131</v>
      </c>
      <c r="AA19" s="30">
        <v>8732</v>
      </c>
      <c r="AC19" s="30" t="s">
        <v>115</v>
      </c>
    </row>
    <row r="20" spans="1:29" x14ac:dyDescent="0.3">
      <c r="A20" s="31">
        <v>45358</v>
      </c>
      <c r="B20" s="30" t="s">
        <v>123</v>
      </c>
      <c r="C20" s="30" t="s">
        <v>116</v>
      </c>
      <c r="D20" s="30" t="s">
        <v>177</v>
      </c>
      <c r="E20" s="30" t="s">
        <v>107</v>
      </c>
      <c r="G20" s="30">
        <v>3512</v>
      </c>
      <c r="H20" s="32">
        <v>825281.93</v>
      </c>
      <c r="I20" s="30">
        <v>80</v>
      </c>
      <c r="J20" s="30" t="s">
        <v>145</v>
      </c>
      <c r="L20" s="30">
        <v>3553</v>
      </c>
      <c r="M20" s="32">
        <v>825281.93</v>
      </c>
      <c r="N20" s="30">
        <v>800101</v>
      </c>
      <c r="O20" s="30" t="s">
        <v>119</v>
      </c>
      <c r="P20" s="30">
        <v>80</v>
      </c>
      <c r="Q20" s="30" t="s">
        <v>178</v>
      </c>
      <c r="R20" s="30">
        <v>601</v>
      </c>
      <c r="S20" s="30">
        <v>1</v>
      </c>
      <c r="T20" s="30">
        <v>50070</v>
      </c>
      <c r="V20" s="30" t="s">
        <v>112</v>
      </c>
      <c r="W20" s="30" t="s">
        <v>121</v>
      </c>
      <c r="X20" s="30" t="s">
        <v>143</v>
      </c>
      <c r="Y20" s="30">
        <v>8867067</v>
      </c>
      <c r="Z20" s="30" t="s">
        <v>114</v>
      </c>
      <c r="AC20" s="30" t="s">
        <v>115</v>
      </c>
    </row>
    <row r="21" spans="1:29" x14ac:dyDescent="0.3">
      <c r="A21" s="31">
        <v>45359</v>
      </c>
      <c r="B21" s="30" t="s">
        <v>104</v>
      </c>
      <c r="C21" s="30" t="s">
        <v>116</v>
      </c>
      <c r="D21" s="30" t="s">
        <v>117</v>
      </c>
      <c r="E21" s="30" t="s">
        <v>107</v>
      </c>
      <c r="G21" s="30">
        <v>3512</v>
      </c>
      <c r="I21" s="30">
        <v>80</v>
      </c>
      <c r="J21" s="30" t="s">
        <v>179</v>
      </c>
      <c r="K21" s="30">
        <v>270</v>
      </c>
      <c r="L21" s="30" t="s">
        <v>117</v>
      </c>
      <c r="M21" s="30">
        <v>-270</v>
      </c>
      <c r="N21" s="30">
        <v>800101</v>
      </c>
      <c r="O21" s="30" t="s">
        <v>119</v>
      </c>
      <c r="P21" s="30">
        <v>80</v>
      </c>
      <c r="Q21" s="30" t="s">
        <v>180</v>
      </c>
      <c r="R21" s="30">
        <v>601</v>
      </c>
      <c r="S21" s="30">
        <v>1</v>
      </c>
      <c r="T21" s="30">
        <v>50070</v>
      </c>
      <c r="V21" s="30" t="s">
        <v>112</v>
      </c>
      <c r="W21" s="30" t="s">
        <v>121</v>
      </c>
      <c r="X21" s="30" t="s">
        <v>181</v>
      </c>
      <c r="Y21" s="30">
        <v>8882292</v>
      </c>
      <c r="Z21" s="30" t="s">
        <v>121</v>
      </c>
      <c r="AA21" s="30" t="s">
        <v>181</v>
      </c>
      <c r="AC21" s="30" t="s">
        <v>115</v>
      </c>
    </row>
    <row r="22" spans="1:29" x14ac:dyDescent="0.3">
      <c r="A22" s="31">
        <v>45364</v>
      </c>
      <c r="B22" s="30" t="s">
        <v>123</v>
      </c>
      <c r="C22" s="30" t="s">
        <v>116</v>
      </c>
      <c r="D22" s="30" t="s">
        <v>182</v>
      </c>
      <c r="E22" s="30" t="s">
        <v>107</v>
      </c>
      <c r="G22" s="30">
        <v>3512</v>
      </c>
      <c r="H22" s="32">
        <v>69900</v>
      </c>
      <c r="I22" s="30">
        <v>80</v>
      </c>
      <c r="J22" s="30" t="s">
        <v>183</v>
      </c>
      <c r="L22" s="30">
        <v>3540</v>
      </c>
      <c r="M22" s="32">
        <v>69900</v>
      </c>
      <c r="N22" s="30">
        <v>800101</v>
      </c>
      <c r="O22" s="30" t="s">
        <v>119</v>
      </c>
      <c r="P22" s="30">
        <v>80</v>
      </c>
      <c r="Q22" s="30" t="s">
        <v>184</v>
      </c>
      <c r="R22" s="30">
        <v>601</v>
      </c>
      <c r="S22" s="30">
        <v>1</v>
      </c>
      <c r="T22" s="30">
        <v>50070</v>
      </c>
      <c r="V22" s="30" t="s">
        <v>112</v>
      </c>
      <c r="W22" s="30" t="s">
        <v>121</v>
      </c>
      <c r="X22" s="30" t="s">
        <v>143</v>
      </c>
      <c r="Y22" s="30">
        <v>8871591</v>
      </c>
      <c r="Z22" s="30" t="s">
        <v>114</v>
      </c>
      <c r="AC22" s="30" t="s">
        <v>115</v>
      </c>
    </row>
    <row r="23" spans="1:29" x14ac:dyDescent="0.3">
      <c r="A23" s="31">
        <v>45364</v>
      </c>
      <c r="B23" s="30" t="s">
        <v>123</v>
      </c>
      <c r="C23" s="30" t="s">
        <v>116</v>
      </c>
      <c r="D23" s="30" t="s">
        <v>185</v>
      </c>
      <c r="E23" s="30" t="s">
        <v>107</v>
      </c>
      <c r="G23" s="30">
        <v>3512</v>
      </c>
      <c r="H23" s="32">
        <v>1288975</v>
      </c>
      <c r="I23" s="30">
        <v>80</v>
      </c>
      <c r="J23" s="30" t="s">
        <v>186</v>
      </c>
      <c r="L23" s="30">
        <v>405</v>
      </c>
      <c r="M23" s="32">
        <v>1288975</v>
      </c>
      <c r="N23" s="30">
        <v>800101</v>
      </c>
      <c r="O23" s="30" t="s">
        <v>119</v>
      </c>
      <c r="P23" s="30">
        <v>80</v>
      </c>
      <c r="Q23" s="30" t="s">
        <v>187</v>
      </c>
      <c r="R23" s="30">
        <v>601</v>
      </c>
      <c r="S23" s="30">
        <v>1</v>
      </c>
      <c r="T23" s="30">
        <v>50070</v>
      </c>
      <c r="V23" s="30" t="s">
        <v>112</v>
      </c>
      <c r="W23" s="30" t="s">
        <v>121</v>
      </c>
      <c r="X23" s="30" t="s">
        <v>188</v>
      </c>
      <c r="Y23" s="30">
        <v>8871627</v>
      </c>
      <c r="Z23" s="30" t="s">
        <v>114</v>
      </c>
      <c r="AC23" s="30" t="s">
        <v>115</v>
      </c>
    </row>
    <row r="24" spans="1:29" x14ac:dyDescent="0.3">
      <c r="A24" s="31">
        <v>45364</v>
      </c>
      <c r="B24" s="30" t="s">
        <v>123</v>
      </c>
      <c r="C24" s="30" t="s">
        <v>116</v>
      </c>
      <c r="D24" s="30" t="s">
        <v>189</v>
      </c>
      <c r="E24" s="30" t="s">
        <v>107</v>
      </c>
      <c r="G24" s="30">
        <v>3512</v>
      </c>
      <c r="H24" s="32">
        <v>2488650</v>
      </c>
      <c r="I24" s="30">
        <v>80</v>
      </c>
      <c r="J24" s="30" t="s">
        <v>190</v>
      </c>
      <c r="L24" s="30">
        <v>381</v>
      </c>
      <c r="M24" s="32">
        <v>2488650</v>
      </c>
      <c r="N24" s="30">
        <v>800101</v>
      </c>
      <c r="O24" s="30" t="s">
        <v>119</v>
      </c>
      <c r="P24" s="30">
        <v>80</v>
      </c>
      <c r="Q24" s="30" t="s">
        <v>191</v>
      </c>
      <c r="R24" s="30">
        <v>601</v>
      </c>
      <c r="S24" s="30">
        <v>1</v>
      </c>
      <c r="T24" s="30">
        <v>50070</v>
      </c>
      <c r="V24" s="30" t="s">
        <v>112</v>
      </c>
      <c r="W24" s="30" t="s">
        <v>121</v>
      </c>
      <c r="X24" s="30" t="s">
        <v>188</v>
      </c>
      <c r="Y24" s="30">
        <v>8871645</v>
      </c>
      <c r="Z24" s="30" t="s">
        <v>114</v>
      </c>
      <c r="AC24" s="30" t="s">
        <v>115</v>
      </c>
    </row>
    <row r="25" spans="1:29" x14ac:dyDescent="0.3">
      <c r="A25" s="31">
        <v>45364</v>
      </c>
      <c r="B25" s="30" t="s">
        <v>123</v>
      </c>
      <c r="C25" s="30" t="s">
        <v>116</v>
      </c>
      <c r="D25" s="30" t="s">
        <v>192</v>
      </c>
      <c r="E25" s="30" t="s">
        <v>107</v>
      </c>
      <c r="G25" s="30">
        <v>3512</v>
      </c>
      <c r="H25" s="32">
        <v>1409412</v>
      </c>
      <c r="I25" s="30">
        <v>80</v>
      </c>
      <c r="J25" s="30" t="s">
        <v>193</v>
      </c>
      <c r="L25" s="30">
        <v>380</v>
      </c>
      <c r="M25" s="32">
        <v>1409412</v>
      </c>
      <c r="N25" s="30">
        <v>800101</v>
      </c>
      <c r="O25" s="30" t="s">
        <v>119</v>
      </c>
      <c r="P25" s="30">
        <v>80</v>
      </c>
      <c r="Q25" s="30" t="s">
        <v>194</v>
      </c>
      <c r="R25" s="30">
        <v>601</v>
      </c>
      <c r="S25" s="30">
        <v>1</v>
      </c>
      <c r="T25" s="30">
        <v>50070</v>
      </c>
      <c r="V25" s="30" t="s">
        <v>112</v>
      </c>
      <c r="W25" s="30" t="s">
        <v>121</v>
      </c>
      <c r="X25" s="30" t="s">
        <v>188</v>
      </c>
      <c r="Y25" s="30">
        <v>8871663</v>
      </c>
      <c r="Z25" s="30" t="s">
        <v>114</v>
      </c>
      <c r="AC25" s="30" t="s">
        <v>115</v>
      </c>
    </row>
    <row r="26" spans="1:29" x14ac:dyDescent="0.3">
      <c r="A26" s="31">
        <v>45364</v>
      </c>
      <c r="B26" s="30" t="s">
        <v>113</v>
      </c>
      <c r="C26" s="30" t="s">
        <v>116</v>
      </c>
      <c r="D26" s="30" t="s">
        <v>195</v>
      </c>
      <c r="E26" s="30" t="s">
        <v>107</v>
      </c>
      <c r="F26" s="30" t="s">
        <v>165</v>
      </c>
      <c r="G26" s="30">
        <v>3512</v>
      </c>
      <c r="H26" s="32">
        <v>38165</v>
      </c>
      <c r="I26" s="30">
        <v>80</v>
      </c>
      <c r="J26" s="30" t="s">
        <v>172</v>
      </c>
      <c r="L26" s="30">
        <v>8497</v>
      </c>
      <c r="M26" s="32">
        <v>38165</v>
      </c>
      <c r="N26" s="30">
        <v>800101</v>
      </c>
      <c r="O26" s="30" t="s">
        <v>119</v>
      </c>
      <c r="P26" s="30">
        <v>80</v>
      </c>
      <c r="Q26" s="30" t="s">
        <v>196</v>
      </c>
      <c r="R26" s="30">
        <v>601</v>
      </c>
      <c r="S26" s="30">
        <v>1</v>
      </c>
      <c r="T26" s="30">
        <v>50070</v>
      </c>
      <c r="V26" s="30" t="s">
        <v>112</v>
      </c>
      <c r="W26" s="30" t="s">
        <v>131</v>
      </c>
      <c r="X26" s="30">
        <v>8732</v>
      </c>
      <c r="Y26" s="30">
        <v>8873774</v>
      </c>
      <c r="Z26" s="30" t="s">
        <v>131</v>
      </c>
      <c r="AA26" s="30">
        <v>8732</v>
      </c>
      <c r="AC26" s="30" t="s">
        <v>115</v>
      </c>
    </row>
    <row r="27" spans="1:29" x14ac:dyDescent="0.3">
      <c r="A27" s="31">
        <v>45371</v>
      </c>
      <c r="B27" s="30" t="s">
        <v>123</v>
      </c>
      <c r="C27" s="30" t="s">
        <v>116</v>
      </c>
      <c r="D27" s="30" t="s">
        <v>197</v>
      </c>
      <c r="E27" s="30" t="s">
        <v>107</v>
      </c>
      <c r="G27" s="30">
        <v>3512</v>
      </c>
      <c r="H27" s="32">
        <v>50000</v>
      </c>
      <c r="I27" s="30">
        <v>80</v>
      </c>
      <c r="J27" s="30" t="s">
        <v>198</v>
      </c>
      <c r="L27" s="30">
        <v>1939</v>
      </c>
      <c r="M27" s="32">
        <v>50000</v>
      </c>
      <c r="N27" s="30">
        <v>800101</v>
      </c>
      <c r="O27" s="30" t="s">
        <v>119</v>
      </c>
      <c r="P27" s="30">
        <v>80</v>
      </c>
      <c r="Q27" s="30" t="s">
        <v>199</v>
      </c>
      <c r="R27" s="30">
        <v>601</v>
      </c>
      <c r="S27" s="30">
        <v>1</v>
      </c>
      <c r="T27" s="30">
        <v>50070</v>
      </c>
      <c r="V27" s="30" t="s">
        <v>112</v>
      </c>
      <c r="W27" s="30" t="s">
        <v>121</v>
      </c>
      <c r="X27" s="30" t="s">
        <v>200</v>
      </c>
      <c r="Y27" s="30">
        <v>8873467</v>
      </c>
      <c r="Z27" s="30" t="s">
        <v>114</v>
      </c>
      <c r="AC27" s="30" t="s">
        <v>115</v>
      </c>
    </row>
    <row r="28" spans="1:29" x14ac:dyDescent="0.3">
      <c r="A28" s="31">
        <v>45378</v>
      </c>
      <c r="B28" s="30" t="s">
        <v>123</v>
      </c>
      <c r="C28" s="30" t="s">
        <v>116</v>
      </c>
      <c r="D28" s="30" t="s">
        <v>201</v>
      </c>
      <c r="E28" s="30" t="s">
        <v>107</v>
      </c>
      <c r="G28" s="30">
        <v>3512</v>
      </c>
      <c r="H28" s="32">
        <v>2496117</v>
      </c>
      <c r="I28" s="30">
        <v>80</v>
      </c>
      <c r="J28" s="30" t="s">
        <v>202</v>
      </c>
      <c r="L28" s="33">
        <v>403404</v>
      </c>
      <c r="M28" s="32">
        <v>2496117</v>
      </c>
      <c r="N28" s="30">
        <v>800101</v>
      </c>
      <c r="O28" s="30" t="s">
        <v>119</v>
      </c>
      <c r="P28" s="30">
        <v>80</v>
      </c>
      <c r="Q28" s="30" t="s">
        <v>203</v>
      </c>
      <c r="R28" s="30">
        <v>601</v>
      </c>
      <c r="S28" s="30">
        <v>1</v>
      </c>
      <c r="T28" s="30">
        <v>50070</v>
      </c>
      <c r="V28" s="30" t="s">
        <v>112</v>
      </c>
      <c r="W28" s="30" t="s">
        <v>121</v>
      </c>
      <c r="X28" s="30" t="s">
        <v>188</v>
      </c>
      <c r="Y28" s="30">
        <v>8877364</v>
      </c>
      <c r="Z28" s="30" t="s">
        <v>114</v>
      </c>
      <c r="AC28" s="30" t="s">
        <v>115</v>
      </c>
    </row>
    <row r="29" spans="1:29" x14ac:dyDescent="0.3">
      <c r="A29" s="31">
        <v>45379</v>
      </c>
      <c r="B29" s="30" t="s">
        <v>113</v>
      </c>
      <c r="C29" s="30" t="s">
        <v>116</v>
      </c>
      <c r="D29" s="30" t="s">
        <v>204</v>
      </c>
      <c r="E29" s="30" t="s">
        <v>107</v>
      </c>
      <c r="G29" s="30">
        <v>3512</v>
      </c>
      <c r="H29" s="32">
        <v>1400500</v>
      </c>
      <c r="I29" s="30">
        <v>80</v>
      </c>
      <c r="J29" s="30" t="s">
        <v>205</v>
      </c>
      <c r="M29" s="32">
        <v>1400500</v>
      </c>
      <c r="N29" s="30">
        <v>800101</v>
      </c>
      <c r="O29" s="30" t="s">
        <v>119</v>
      </c>
      <c r="P29" s="30">
        <v>80</v>
      </c>
      <c r="Q29" s="30" t="s">
        <v>206</v>
      </c>
      <c r="R29" s="30">
        <v>601</v>
      </c>
      <c r="S29" s="30">
        <v>1</v>
      </c>
      <c r="T29" s="30">
        <v>50070</v>
      </c>
      <c r="V29" s="30" t="s">
        <v>112</v>
      </c>
      <c r="W29" s="30" t="s">
        <v>131</v>
      </c>
      <c r="X29" s="30">
        <v>8732</v>
      </c>
      <c r="Y29" s="30">
        <v>8880427</v>
      </c>
      <c r="Z29" s="30" t="s">
        <v>131</v>
      </c>
      <c r="AA29" s="30">
        <v>8732</v>
      </c>
      <c r="AC29" s="30" t="s">
        <v>115</v>
      </c>
    </row>
    <row r="30" spans="1:29" x14ac:dyDescent="0.3">
      <c r="A30" s="31">
        <v>45379</v>
      </c>
      <c r="B30" s="30" t="s">
        <v>113</v>
      </c>
      <c r="C30" s="30" t="s">
        <v>116</v>
      </c>
      <c r="D30" s="30" t="s">
        <v>207</v>
      </c>
      <c r="E30" s="30" t="s">
        <v>107</v>
      </c>
      <c r="G30" s="30">
        <v>3512</v>
      </c>
      <c r="H30" s="32">
        <v>1281039.9099999999</v>
      </c>
      <c r="I30" s="30">
        <v>80</v>
      </c>
      <c r="J30" s="30" t="s">
        <v>205</v>
      </c>
      <c r="L30" s="30" t="s">
        <v>207</v>
      </c>
      <c r="M30" s="32">
        <v>1281039.9099999999</v>
      </c>
      <c r="N30" s="30">
        <v>800101</v>
      </c>
      <c r="O30" s="30" t="s">
        <v>119</v>
      </c>
      <c r="P30" s="30">
        <v>80</v>
      </c>
      <c r="Q30" s="30" t="s">
        <v>208</v>
      </c>
      <c r="R30" s="30">
        <v>601</v>
      </c>
      <c r="S30" s="30">
        <v>1</v>
      </c>
      <c r="T30" s="30">
        <v>50070</v>
      </c>
      <c r="V30" s="30" t="s">
        <v>112</v>
      </c>
      <c r="W30" s="30" t="s">
        <v>121</v>
      </c>
      <c r="X30" s="30" t="s">
        <v>209</v>
      </c>
      <c r="Y30" s="30">
        <v>8880928</v>
      </c>
      <c r="Z30" s="30" t="s">
        <v>121</v>
      </c>
      <c r="AA30" s="30" t="s">
        <v>209</v>
      </c>
      <c r="AC30" s="30" t="s">
        <v>115</v>
      </c>
    </row>
    <row r="31" spans="1:29" x14ac:dyDescent="0.3">
      <c r="A31" s="31">
        <v>45379</v>
      </c>
      <c r="B31" s="30" t="s">
        <v>113</v>
      </c>
      <c r="C31" s="30" t="s">
        <v>116</v>
      </c>
      <c r="D31" s="30" t="s">
        <v>207</v>
      </c>
      <c r="E31" s="30" t="s">
        <v>107</v>
      </c>
      <c r="G31" s="30">
        <v>3512</v>
      </c>
      <c r="I31" s="30">
        <v>80</v>
      </c>
      <c r="J31" s="30" t="s">
        <v>210</v>
      </c>
      <c r="K31" s="32">
        <v>2562079.8199999998</v>
      </c>
      <c r="L31" s="30" t="s">
        <v>207</v>
      </c>
      <c r="M31" s="32">
        <v>-2562079.8199999998</v>
      </c>
      <c r="N31" s="30">
        <v>800101</v>
      </c>
      <c r="O31" s="30" t="s">
        <v>119</v>
      </c>
      <c r="P31" s="30">
        <v>80</v>
      </c>
      <c r="Q31" s="30" t="s">
        <v>211</v>
      </c>
      <c r="R31" s="30">
        <v>601</v>
      </c>
      <c r="S31" s="30">
        <v>1</v>
      </c>
      <c r="T31" s="30">
        <v>50070</v>
      </c>
      <c r="V31" s="30" t="s">
        <v>112</v>
      </c>
      <c r="W31" s="30" t="s">
        <v>121</v>
      </c>
      <c r="X31" s="30" t="s">
        <v>209</v>
      </c>
      <c r="Y31" s="30">
        <v>8880930</v>
      </c>
      <c r="Z31" s="30" t="s">
        <v>121</v>
      </c>
      <c r="AA31" s="30" t="s">
        <v>209</v>
      </c>
      <c r="AC31" s="30" t="s">
        <v>115</v>
      </c>
    </row>
    <row r="32" spans="1:29" x14ac:dyDescent="0.3">
      <c r="A32" s="31">
        <v>45379</v>
      </c>
      <c r="B32" s="30" t="s">
        <v>113</v>
      </c>
      <c r="C32" s="30" t="s">
        <v>116</v>
      </c>
      <c r="D32" s="30" t="s">
        <v>117</v>
      </c>
      <c r="E32" s="30" t="s">
        <v>107</v>
      </c>
      <c r="G32" s="30">
        <v>3512</v>
      </c>
      <c r="I32" s="30">
        <v>80</v>
      </c>
      <c r="J32" s="30" t="s">
        <v>210</v>
      </c>
      <c r="K32" s="32">
        <v>815575</v>
      </c>
      <c r="L32" s="30" t="s">
        <v>117</v>
      </c>
      <c r="M32" s="32">
        <v>-815575</v>
      </c>
      <c r="N32" s="30">
        <v>800101</v>
      </c>
      <c r="O32" s="30" t="s">
        <v>119</v>
      </c>
      <c r="P32" s="30">
        <v>80</v>
      </c>
      <c r="Q32" s="30" t="s">
        <v>212</v>
      </c>
      <c r="R32" s="30">
        <v>601</v>
      </c>
      <c r="S32" s="30">
        <v>1</v>
      </c>
      <c r="T32" s="30">
        <v>50070</v>
      </c>
      <c r="V32" s="30" t="s">
        <v>112</v>
      </c>
      <c r="W32" s="30" t="s">
        <v>121</v>
      </c>
      <c r="X32" s="30" t="s">
        <v>127</v>
      </c>
      <c r="Y32" s="30">
        <v>8880944</v>
      </c>
      <c r="Z32" s="30" t="s">
        <v>121</v>
      </c>
      <c r="AA32" s="30" t="s">
        <v>127</v>
      </c>
      <c r="AC32" s="30" t="s">
        <v>115</v>
      </c>
    </row>
    <row r="33" spans="1:29" x14ac:dyDescent="0.3">
      <c r="A33" s="31">
        <v>45379</v>
      </c>
      <c r="B33" s="30" t="s">
        <v>113</v>
      </c>
      <c r="C33" s="30" t="s">
        <v>116</v>
      </c>
      <c r="D33" s="30" t="s">
        <v>117</v>
      </c>
      <c r="E33" s="30" t="s">
        <v>107</v>
      </c>
      <c r="G33" s="30">
        <v>3512</v>
      </c>
      <c r="H33" s="32">
        <v>8075</v>
      </c>
      <c r="I33" s="30">
        <v>80</v>
      </c>
      <c r="J33" s="30" t="s">
        <v>210</v>
      </c>
      <c r="L33" s="30" t="s">
        <v>117</v>
      </c>
      <c r="M33" s="32">
        <v>8075</v>
      </c>
      <c r="N33" s="30">
        <v>800101</v>
      </c>
      <c r="O33" s="30" t="s">
        <v>119</v>
      </c>
      <c r="P33" s="30">
        <v>80</v>
      </c>
      <c r="Q33" s="30" t="s">
        <v>213</v>
      </c>
      <c r="R33" s="30">
        <v>601</v>
      </c>
      <c r="S33" s="30">
        <v>1</v>
      </c>
      <c r="T33" s="30">
        <v>50070</v>
      </c>
      <c r="V33" s="30" t="s">
        <v>112</v>
      </c>
      <c r="W33" s="30" t="s">
        <v>121</v>
      </c>
      <c r="X33" s="30" t="s">
        <v>127</v>
      </c>
      <c r="Y33" s="30">
        <v>8880952</v>
      </c>
      <c r="Z33" s="30" t="s">
        <v>121</v>
      </c>
      <c r="AA33" s="30" t="s">
        <v>127</v>
      </c>
      <c r="AC33" s="30" t="s">
        <v>115</v>
      </c>
    </row>
    <row r="34" spans="1:29" x14ac:dyDescent="0.3">
      <c r="A34" s="31">
        <v>45382</v>
      </c>
      <c r="B34" s="30" t="s">
        <v>113</v>
      </c>
      <c r="C34" s="30" t="s">
        <v>116</v>
      </c>
      <c r="D34" s="30" t="s">
        <v>214</v>
      </c>
      <c r="E34" s="30" t="s">
        <v>107</v>
      </c>
      <c r="G34" s="30">
        <v>3512</v>
      </c>
      <c r="I34" s="30">
        <v>80</v>
      </c>
      <c r="J34" s="30" t="s">
        <v>215</v>
      </c>
      <c r="K34" s="32">
        <v>974650</v>
      </c>
      <c r="L34" s="30" t="s">
        <v>214</v>
      </c>
      <c r="M34" s="32">
        <v>-974650</v>
      </c>
      <c r="N34" s="30">
        <v>800101</v>
      </c>
      <c r="O34" s="30" t="s">
        <v>119</v>
      </c>
      <c r="P34" s="30">
        <v>80</v>
      </c>
      <c r="Q34" s="30" t="s">
        <v>216</v>
      </c>
      <c r="R34" s="30">
        <v>601</v>
      </c>
      <c r="S34" s="30">
        <v>1</v>
      </c>
      <c r="T34" s="30">
        <v>50070</v>
      </c>
      <c r="V34" s="30" t="s">
        <v>112</v>
      </c>
      <c r="W34" s="30" t="s">
        <v>113</v>
      </c>
      <c r="Y34" s="30">
        <v>8883840</v>
      </c>
      <c r="Z34" s="30" t="s">
        <v>114</v>
      </c>
      <c r="AA34" s="30">
        <v>8902</v>
      </c>
      <c r="AC34" s="3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selection activeCell="E55" sqref="E55"/>
    </sheetView>
  </sheetViews>
  <sheetFormatPr defaultRowHeight="15" x14ac:dyDescent="0.25"/>
  <cols>
    <col min="2" max="2" width="11.140625" customWidth="1"/>
    <col min="3" max="3" width="23.42578125" bestFit="1" customWidth="1"/>
    <col min="4" max="4" width="21.140625" customWidth="1"/>
    <col min="5" max="6" width="20.42578125" customWidth="1"/>
    <col min="9" max="9" width="23.42578125" bestFit="1" customWidth="1"/>
    <col min="10" max="10" width="21.7109375" bestFit="1" customWidth="1"/>
    <col min="11" max="12" width="18.42578125" customWidth="1"/>
    <col min="15" max="15" width="23.42578125" bestFit="1" customWidth="1"/>
    <col min="16" max="16" width="21.7109375" bestFit="1" customWidth="1"/>
    <col min="17" max="17" width="19" bestFit="1" customWidth="1"/>
    <col min="18" max="18" width="23.42578125" bestFit="1" customWidth="1"/>
  </cols>
  <sheetData>
    <row r="1" spans="1:18" x14ac:dyDescent="0.25">
      <c r="A1" s="34">
        <v>45292</v>
      </c>
      <c r="G1" s="34">
        <v>45323</v>
      </c>
      <c r="M1" s="34">
        <v>45352</v>
      </c>
    </row>
    <row r="2" spans="1:18" x14ac:dyDescent="0.25">
      <c r="B2" s="34" t="s">
        <v>218</v>
      </c>
      <c r="H2" s="34" t="s">
        <v>218</v>
      </c>
    </row>
    <row r="3" spans="1:18" s="7" customFormat="1" x14ac:dyDescent="0.25">
      <c r="B3" s="35"/>
      <c r="C3" s="7" t="s">
        <v>219</v>
      </c>
      <c r="D3" s="7" t="s">
        <v>220</v>
      </c>
      <c r="E3" s="7" t="s">
        <v>221</v>
      </c>
      <c r="H3" s="35"/>
      <c r="I3" s="7" t="s">
        <v>219</v>
      </c>
      <c r="J3" s="7" t="s">
        <v>220</v>
      </c>
      <c r="K3" s="7" t="s">
        <v>222</v>
      </c>
      <c r="N3" s="35"/>
      <c r="O3" s="7" t="s">
        <v>219</v>
      </c>
      <c r="P3" s="7" t="s">
        <v>223</v>
      </c>
      <c r="Q3" s="7" t="s">
        <v>222</v>
      </c>
    </row>
    <row r="4" spans="1:18" x14ac:dyDescent="0.25">
      <c r="A4">
        <v>1</v>
      </c>
      <c r="B4" t="s">
        <v>224</v>
      </c>
      <c r="C4" t="s">
        <v>225</v>
      </c>
      <c r="D4" t="s">
        <v>225</v>
      </c>
      <c r="G4">
        <v>1</v>
      </c>
      <c r="H4" t="s">
        <v>224</v>
      </c>
      <c r="I4">
        <v>430</v>
      </c>
      <c r="J4">
        <v>10</v>
      </c>
      <c r="M4">
        <v>1</v>
      </c>
      <c r="N4" t="s">
        <v>224</v>
      </c>
    </row>
    <row r="5" spans="1:18" x14ac:dyDescent="0.25">
      <c r="A5">
        <v>2</v>
      </c>
      <c r="B5" t="s">
        <v>226</v>
      </c>
      <c r="C5">
        <v>55</v>
      </c>
      <c r="D5">
        <v>35</v>
      </c>
      <c r="G5">
        <v>2</v>
      </c>
      <c r="H5" t="s">
        <v>226</v>
      </c>
      <c r="I5" s="36"/>
      <c r="J5" s="36">
        <v>83.23</v>
      </c>
      <c r="K5">
        <v>20</v>
      </c>
      <c r="M5">
        <v>2</v>
      </c>
      <c r="N5" t="s">
        <v>226</v>
      </c>
      <c r="O5">
        <v>55</v>
      </c>
      <c r="P5">
        <v>50</v>
      </c>
      <c r="Q5">
        <v>20</v>
      </c>
    </row>
    <row r="6" spans="1:18" x14ac:dyDescent="0.25">
      <c r="A6">
        <v>3</v>
      </c>
      <c r="B6" t="s">
        <v>227</v>
      </c>
      <c r="C6">
        <v>220</v>
      </c>
      <c r="D6">
        <v>25</v>
      </c>
      <c r="G6">
        <v>3</v>
      </c>
      <c r="H6" t="s">
        <v>227</v>
      </c>
      <c r="I6" s="36">
        <v>220</v>
      </c>
      <c r="J6" s="36">
        <v>25</v>
      </c>
      <c r="M6">
        <v>3</v>
      </c>
      <c r="N6" t="s">
        <v>227</v>
      </c>
      <c r="O6">
        <v>250</v>
      </c>
      <c r="P6">
        <v>20</v>
      </c>
    </row>
    <row r="7" spans="1:18" x14ac:dyDescent="0.25">
      <c r="A7">
        <v>4</v>
      </c>
      <c r="B7" t="s">
        <v>228</v>
      </c>
      <c r="C7">
        <v>170</v>
      </c>
      <c r="D7">
        <v>0</v>
      </c>
      <c r="E7">
        <v>10</v>
      </c>
      <c r="G7">
        <v>4</v>
      </c>
      <c r="H7" t="s">
        <v>228</v>
      </c>
      <c r="I7" s="36">
        <v>10</v>
      </c>
      <c r="J7" s="36">
        <v>25</v>
      </c>
      <c r="K7" s="36">
        <v>20</v>
      </c>
      <c r="L7" s="36"/>
      <c r="M7">
        <v>4</v>
      </c>
      <c r="N7" t="s">
        <v>228</v>
      </c>
      <c r="O7">
        <v>150</v>
      </c>
      <c r="P7">
        <v>0</v>
      </c>
    </row>
    <row r="8" spans="1:18" x14ac:dyDescent="0.25">
      <c r="A8">
        <v>5</v>
      </c>
      <c r="B8" t="s">
        <v>229</v>
      </c>
      <c r="C8">
        <v>180</v>
      </c>
      <c r="D8">
        <v>100</v>
      </c>
      <c r="G8">
        <v>5</v>
      </c>
      <c r="H8" t="s">
        <v>229</v>
      </c>
      <c r="I8" s="36">
        <v>345</v>
      </c>
      <c r="J8" s="36">
        <v>100</v>
      </c>
      <c r="M8">
        <v>5</v>
      </c>
      <c r="N8" t="s">
        <v>229</v>
      </c>
      <c r="O8">
        <v>182</v>
      </c>
      <c r="P8">
        <v>110</v>
      </c>
      <c r="Q8">
        <v>35</v>
      </c>
    </row>
    <row r="9" spans="1:18" x14ac:dyDescent="0.25">
      <c r="A9">
        <v>6</v>
      </c>
      <c r="B9" t="s">
        <v>230</v>
      </c>
      <c r="C9">
        <v>175</v>
      </c>
      <c r="D9">
        <v>15</v>
      </c>
      <c r="E9">
        <v>50</v>
      </c>
      <c r="G9">
        <v>6</v>
      </c>
      <c r="H9" t="s">
        <v>230</v>
      </c>
      <c r="I9" s="36">
        <v>355</v>
      </c>
      <c r="J9" s="36">
        <v>15</v>
      </c>
      <c r="M9">
        <v>6</v>
      </c>
      <c r="N9" t="s">
        <v>230</v>
      </c>
      <c r="O9">
        <v>145</v>
      </c>
      <c r="P9">
        <v>5</v>
      </c>
    </row>
    <row r="10" spans="1:18" x14ac:dyDescent="0.25">
      <c r="A10">
        <v>7</v>
      </c>
      <c r="B10" t="s">
        <v>231</v>
      </c>
      <c r="C10">
        <v>245</v>
      </c>
      <c r="D10">
        <v>10</v>
      </c>
      <c r="G10">
        <v>7</v>
      </c>
      <c r="H10" t="s">
        <v>231</v>
      </c>
      <c r="I10" s="36">
        <v>400</v>
      </c>
      <c r="J10" s="36">
        <v>10</v>
      </c>
      <c r="M10">
        <v>7</v>
      </c>
      <c r="N10" t="s">
        <v>231</v>
      </c>
      <c r="O10">
        <v>300</v>
      </c>
      <c r="P10">
        <v>50</v>
      </c>
    </row>
    <row r="11" spans="1:18" x14ac:dyDescent="0.25">
      <c r="B11" t="s">
        <v>232</v>
      </c>
      <c r="C11">
        <f>SUM(C5:C10)</f>
        <v>1045</v>
      </c>
      <c r="D11">
        <f>SUM(D5:D10)</f>
        <v>185</v>
      </c>
      <c r="E11">
        <v>60</v>
      </c>
      <c r="I11" s="36">
        <f>SUM(I4:I10)</f>
        <v>1760</v>
      </c>
      <c r="J11" s="36">
        <f>SUM(J4:J10)</f>
        <v>268.23</v>
      </c>
      <c r="K11">
        <f>SUM(K5:K10)</f>
        <v>40</v>
      </c>
      <c r="O11">
        <f>SUM(O6:O10)</f>
        <v>1027</v>
      </c>
      <c r="P11">
        <f>SUM(P5:P10)</f>
        <v>235</v>
      </c>
      <c r="Q11">
        <f>SUM(Q5:Q10)</f>
        <v>55</v>
      </c>
    </row>
    <row r="12" spans="1:18" x14ac:dyDescent="0.25">
      <c r="B12" t="s">
        <v>233</v>
      </c>
      <c r="C12">
        <v>2734</v>
      </c>
      <c r="D12">
        <v>2734</v>
      </c>
      <c r="E12">
        <v>2734</v>
      </c>
      <c r="H12" t="s">
        <v>234</v>
      </c>
      <c r="I12" s="36">
        <v>2734</v>
      </c>
      <c r="J12" s="36">
        <v>2734</v>
      </c>
      <c r="K12" s="36">
        <v>2734</v>
      </c>
      <c r="L12" s="36"/>
      <c r="O12">
        <v>2734</v>
      </c>
      <c r="P12">
        <v>2734</v>
      </c>
      <c r="Q12">
        <v>2734</v>
      </c>
    </row>
    <row r="13" spans="1:18" x14ac:dyDescent="0.25">
      <c r="B13" s="37" t="s">
        <v>235</v>
      </c>
      <c r="C13" s="9">
        <f>C11*C12</f>
        <v>2857030</v>
      </c>
      <c r="D13" s="9">
        <f>+D12*D11</f>
        <v>505790</v>
      </c>
      <c r="E13" s="9">
        <f>+E11*C12</f>
        <v>164040</v>
      </c>
      <c r="F13" s="9"/>
      <c r="G13" s="37"/>
      <c r="H13" s="7" t="s">
        <v>235</v>
      </c>
      <c r="I13" s="38">
        <f>+I11*I12</f>
        <v>4811840</v>
      </c>
      <c r="J13" s="38">
        <f>+J11*J12</f>
        <v>733340.82000000007</v>
      </c>
      <c r="K13">
        <f>+K12*K11</f>
        <v>109360</v>
      </c>
      <c r="N13" s="7" t="s">
        <v>235</v>
      </c>
      <c r="O13" s="9">
        <f>+O12*O11</f>
        <v>2807818</v>
      </c>
      <c r="P13" s="9">
        <f>+P12*P11</f>
        <v>642490</v>
      </c>
      <c r="Q13" s="9">
        <f>+Q12*Q11</f>
        <v>150370</v>
      </c>
      <c r="R13" s="39">
        <f>+O13+P13+Q13+K13+J13+I13+E13+D13+C13</f>
        <v>12782078.82</v>
      </c>
    </row>
    <row r="14" spans="1:18" x14ac:dyDescent="0.25">
      <c r="B14" s="37"/>
      <c r="C14" s="9"/>
      <c r="D14" s="9"/>
      <c r="E14" s="9"/>
      <c r="F14" s="9"/>
      <c r="G14" s="37"/>
      <c r="H14" s="7"/>
      <c r="I14" s="38"/>
      <c r="J14" s="38"/>
      <c r="N14" s="7"/>
      <c r="O14" s="7"/>
      <c r="P14" s="7"/>
      <c r="R14" s="7"/>
    </row>
    <row r="15" spans="1:18" x14ac:dyDescent="0.25">
      <c r="B15" t="s">
        <v>236</v>
      </c>
      <c r="H15" t="s">
        <v>236</v>
      </c>
      <c r="I15" s="36"/>
      <c r="J15" s="36"/>
      <c r="N15" t="s">
        <v>236</v>
      </c>
      <c r="R15" s="7"/>
    </row>
    <row r="16" spans="1:18" x14ac:dyDescent="0.25">
      <c r="A16">
        <v>8</v>
      </c>
      <c r="B16" t="s">
        <v>224</v>
      </c>
      <c r="C16">
        <v>55</v>
      </c>
      <c r="D16">
        <v>35</v>
      </c>
      <c r="G16">
        <v>8</v>
      </c>
      <c r="H16" t="s">
        <v>224</v>
      </c>
      <c r="I16" s="36">
        <v>55</v>
      </c>
      <c r="J16" s="36">
        <v>35</v>
      </c>
      <c r="M16">
        <v>8</v>
      </c>
      <c r="N16" t="s">
        <v>224</v>
      </c>
      <c r="O16">
        <v>55</v>
      </c>
      <c r="P16">
        <v>50</v>
      </c>
      <c r="Q16">
        <v>15</v>
      </c>
      <c r="R16" s="7"/>
    </row>
    <row r="17" spans="1:18" x14ac:dyDescent="0.25">
      <c r="A17">
        <v>9</v>
      </c>
      <c r="B17" t="s">
        <v>226</v>
      </c>
      <c r="C17">
        <v>220</v>
      </c>
      <c r="D17">
        <v>25</v>
      </c>
      <c r="E17">
        <v>15</v>
      </c>
      <c r="G17">
        <v>9</v>
      </c>
      <c r="H17" t="s">
        <v>226</v>
      </c>
      <c r="I17">
        <v>310</v>
      </c>
      <c r="K17">
        <v>20</v>
      </c>
      <c r="M17">
        <v>9</v>
      </c>
      <c r="N17" t="s">
        <v>226</v>
      </c>
      <c r="O17">
        <v>200</v>
      </c>
      <c r="P17">
        <v>25</v>
      </c>
      <c r="R17" s="7"/>
    </row>
    <row r="18" spans="1:18" x14ac:dyDescent="0.25">
      <c r="A18">
        <v>10</v>
      </c>
      <c r="B18" t="s">
        <v>227</v>
      </c>
      <c r="C18">
        <v>170</v>
      </c>
      <c r="D18">
        <v>0</v>
      </c>
      <c r="G18">
        <v>10</v>
      </c>
      <c r="H18" t="s">
        <v>227</v>
      </c>
      <c r="I18">
        <v>432.5</v>
      </c>
      <c r="J18">
        <v>10</v>
      </c>
      <c r="M18">
        <v>10</v>
      </c>
      <c r="N18" t="s">
        <v>227</v>
      </c>
      <c r="O18">
        <v>170</v>
      </c>
      <c r="P18">
        <v>50</v>
      </c>
      <c r="R18" s="7"/>
    </row>
    <row r="19" spans="1:18" x14ac:dyDescent="0.25">
      <c r="A19">
        <v>11</v>
      </c>
      <c r="B19" t="s">
        <v>228</v>
      </c>
      <c r="C19">
        <v>180</v>
      </c>
      <c r="D19">
        <v>100</v>
      </c>
      <c r="E19">
        <v>15</v>
      </c>
      <c r="G19">
        <v>11</v>
      </c>
      <c r="H19" t="s">
        <v>228</v>
      </c>
      <c r="I19">
        <v>435</v>
      </c>
      <c r="J19">
        <v>160</v>
      </c>
      <c r="M19">
        <v>11</v>
      </c>
      <c r="N19" t="s">
        <v>228</v>
      </c>
      <c r="O19">
        <v>195</v>
      </c>
      <c r="P19">
        <v>80</v>
      </c>
      <c r="Q19">
        <v>20</v>
      </c>
      <c r="R19" s="7"/>
    </row>
    <row r="20" spans="1:18" x14ac:dyDescent="0.25">
      <c r="A20">
        <v>12</v>
      </c>
      <c r="B20" t="s">
        <v>229</v>
      </c>
      <c r="C20">
        <v>175</v>
      </c>
      <c r="D20">
        <v>15</v>
      </c>
      <c r="G20">
        <v>12</v>
      </c>
      <c r="H20" t="s">
        <v>229</v>
      </c>
      <c r="I20">
        <v>470</v>
      </c>
      <c r="J20">
        <v>15</v>
      </c>
      <c r="K20">
        <v>30</v>
      </c>
      <c r="M20">
        <v>12</v>
      </c>
      <c r="N20" t="s">
        <v>229</v>
      </c>
      <c r="O20">
        <v>300</v>
      </c>
      <c r="P20">
        <v>35</v>
      </c>
      <c r="R20" s="7"/>
    </row>
    <row r="21" spans="1:18" x14ac:dyDescent="0.25">
      <c r="A21">
        <v>13</v>
      </c>
      <c r="B21" t="s">
        <v>230</v>
      </c>
      <c r="C21">
        <v>245</v>
      </c>
      <c r="D21">
        <v>10</v>
      </c>
      <c r="G21">
        <v>13</v>
      </c>
      <c r="H21" t="s">
        <v>230</v>
      </c>
      <c r="I21">
        <v>445</v>
      </c>
      <c r="J21">
        <v>25</v>
      </c>
      <c r="M21">
        <v>13</v>
      </c>
      <c r="N21" t="s">
        <v>230</v>
      </c>
      <c r="O21">
        <v>260</v>
      </c>
      <c r="P21">
        <v>40</v>
      </c>
      <c r="R21" s="7"/>
    </row>
    <row r="22" spans="1:18" x14ac:dyDescent="0.25">
      <c r="A22">
        <v>14</v>
      </c>
      <c r="B22" t="s">
        <v>231</v>
      </c>
      <c r="C22">
        <v>200</v>
      </c>
      <c r="D22">
        <v>15</v>
      </c>
      <c r="G22">
        <v>14</v>
      </c>
      <c r="H22" t="s">
        <v>231</v>
      </c>
      <c r="I22">
        <v>435</v>
      </c>
      <c r="J22">
        <v>59.13</v>
      </c>
      <c r="M22">
        <v>14</v>
      </c>
      <c r="N22" t="s">
        <v>231</v>
      </c>
      <c r="O22">
        <v>190</v>
      </c>
      <c r="P22">
        <v>10</v>
      </c>
      <c r="R22" s="7"/>
    </row>
    <row r="23" spans="1:18" x14ac:dyDescent="0.25">
      <c r="C23">
        <f>SUM(C16:C22)</f>
        <v>1245</v>
      </c>
      <c r="D23">
        <f>SUM(D16:D22)</f>
        <v>200</v>
      </c>
      <c r="E23">
        <f>SUM(E17:E22)</f>
        <v>30</v>
      </c>
      <c r="I23">
        <f>SUM(I16:I22)</f>
        <v>2582.5</v>
      </c>
      <c r="J23">
        <f>SUM(J16:J22)</f>
        <v>304.13</v>
      </c>
      <c r="K23">
        <f>SUM(K17:K22)</f>
        <v>50</v>
      </c>
      <c r="O23">
        <f>SUM(O16:O22)</f>
        <v>1370</v>
      </c>
      <c r="P23">
        <f>SUM(P16:P22)</f>
        <v>290</v>
      </c>
      <c r="Q23">
        <f>SUM(Q16:Q22)</f>
        <v>35</v>
      </c>
      <c r="R23" s="7"/>
    </row>
    <row r="24" spans="1:18" x14ac:dyDescent="0.25">
      <c r="B24" t="s">
        <v>237</v>
      </c>
      <c r="C24">
        <v>2734</v>
      </c>
      <c r="D24">
        <v>2734</v>
      </c>
      <c r="E24">
        <v>2734</v>
      </c>
      <c r="I24">
        <v>2734</v>
      </c>
      <c r="J24">
        <v>2734</v>
      </c>
      <c r="K24">
        <v>2734</v>
      </c>
      <c r="O24">
        <v>2734</v>
      </c>
      <c r="P24">
        <v>2734</v>
      </c>
      <c r="Q24">
        <v>2734</v>
      </c>
      <c r="R24" s="7"/>
    </row>
    <row r="25" spans="1:18" x14ac:dyDescent="0.25">
      <c r="B25" s="7" t="s">
        <v>235</v>
      </c>
      <c r="C25" s="9">
        <f>C24*C23</f>
        <v>3403830</v>
      </c>
      <c r="D25" s="9">
        <f>D24*D23</f>
        <v>546800</v>
      </c>
      <c r="E25" s="9">
        <f>+E24*E23</f>
        <v>82020</v>
      </c>
      <c r="F25" s="9"/>
      <c r="H25" s="7" t="s">
        <v>235</v>
      </c>
      <c r="I25" s="9">
        <f>+I24*I23</f>
        <v>7060555</v>
      </c>
      <c r="J25" s="9">
        <f>+J24*J23</f>
        <v>831491.42</v>
      </c>
      <c r="K25" s="9">
        <f>+K24*K23</f>
        <v>136700</v>
      </c>
      <c r="L25" s="9"/>
      <c r="N25" s="9" t="s">
        <v>235</v>
      </c>
      <c r="O25" s="9">
        <f>+O24*O23</f>
        <v>3745580</v>
      </c>
      <c r="P25" s="9">
        <f>+P24*P23</f>
        <v>792860</v>
      </c>
      <c r="Q25" s="9">
        <f>+Q24*Q23</f>
        <v>95690</v>
      </c>
      <c r="R25" s="39">
        <f>+O25+P25+Q25+K25+J25+I25+E25+D25+C25</f>
        <v>16695526.42</v>
      </c>
    </row>
    <row r="26" spans="1:18" x14ac:dyDescent="0.25">
      <c r="B26" t="s">
        <v>238</v>
      </c>
      <c r="H26" t="s">
        <v>238</v>
      </c>
      <c r="N26" t="s">
        <v>238</v>
      </c>
      <c r="R26" s="7"/>
    </row>
    <row r="27" spans="1:18" x14ac:dyDescent="0.25">
      <c r="A27">
        <v>15</v>
      </c>
      <c r="B27" t="s">
        <v>224</v>
      </c>
      <c r="C27">
        <v>250</v>
      </c>
      <c r="D27">
        <v>45</v>
      </c>
      <c r="G27">
        <v>15</v>
      </c>
      <c r="H27" t="s">
        <v>224</v>
      </c>
      <c r="I27">
        <v>250</v>
      </c>
      <c r="J27">
        <v>45</v>
      </c>
      <c r="M27">
        <v>15</v>
      </c>
      <c r="N27" t="s">
        <v>224</v>
      </c>
      <c r="O27">
        <v>300</v>
      </c>
      <c r="P27">
        <v>30</v>
      </c>
      <c r="R27" s="7"/>
    </row>
    <row r="28" spans="1:18" x14ac:dyDescent="0.25">
      <c r="A28">
        <v>16</v>
      </c>
      <c r="B28" t="s">
        <v>226</v>
      </c>
      <c r="C28">
        <v>60</v>
      </c>
      <c r="D28">
        <v>35</v>
      </c>
      <c r="G28">
        <v>16</v>
      </c>
      <c r="H28" t="s">
        <v>226</v>
      </c>
      <c r="I28">
        <v>450</v>
      </c>
      <c r="J28">
        <v>40</v>
      </c>
      <c r="K28">
        <v>30</v>
      </c>
      <c r="M28">
        <v>16</v>
      </c>
      <c r="N28" t="s">
        <v>226</v>
      </c>
      <c r="O28">
        <v>80</v>
      </c>
      <c r="P28">
        <v>35</v>
      </c>
      <c r="R28" s="7"/>
    </row>
    <row r="29" spans="1:18" x14ac:dyDescent="0.25">
      <c r="A29">
        <v>17</v>
      </c>
      <c r="B29" t="s">
        <v>227</v>
      </c>
      <c r="C29">
        <v>215</v>
      </c>
      <c r="D29">
        <v>20</v>
      </c>
      <c r="E29">
        <v>10</v>
      </c>
      <c r="G29">
        <v>17</v>
      </c>
      <c r="H29" t="s">
        <v>227</v>
      </c>
      <c r="I29">
        <v>215</v>
      </c>
      <c r="J29">
        <v>20</v>
      </c>
      <c r="M29">
        <v>17</v>
      </c>
      <c r="N29" t="s">
        <v>227</v>
      </c>
      <c r="O29">
        <v>200</v>
      </c>
      <c r="P29">
        <v>20</v>
      </c>
      <c r="Q29">
        <v>15</v>
      </c>
      <c r="R29" s="7"/>
    </row>
    <row r="30" spans="1:18" x14ac:dyDescent="0.25">
      <c r="A30">
        <v>18</v>
      </c>
      <c r="B30" t="s">
        <v>228</v>
      </c>
      <c r="C30">
        <v>185</v>
      </c>
      <c r="D30">
        <v>5</v>
      </c>
      <c r="G30">
        <v>18</v>
      </c>
      <c r="H30" t="s">
        <v>228</v>
      </c>
      <c r="I30">
        <v>445</v>
      </c>
      <c r="J30">
        <v>10</v>
      </c>
      <c r="M30">
        <v>18</v>
      </c>
      <c r="N30" t="s">
        <v>228</v>
      </c>
      <c r="O30">
        <v>180</v>
      </c>
      <c r="P30">
        <v>5</v>
      </c>
      <c r="Q30">
        <v>10</v>
      </c>
      <c r="R30" s="7"/>
    </row>
    <row r="31" spans="1:18" x14ac:dyDescent="0.25">
      <c r="A31">
        <v>19</v>
      </c>
      <c r="B31" t="s">
        <v>229</v>
      </c>
      <c r="C31">
        <v>190</v>
      </c>
      <c r="D31">
        <v>93.52</v>
      </c>
      <c r="G31">
        <v>19</v>
      </c>
      <c r="H31" t="s">
        <v>229</v>
      </c>
      <c r="I31">
        <v>190</v>
      </c>
      <c r="J31">
        <v>93.52</v>
      </c>
      <c r="K31">
        <v>25</v>
      </c>
      <c r="M31">
        <v>19</v>
      </c>
      <c r="N31" t="s">
        <v>229</v>
      </c>
      <c r="O31">
        <v>205</v>
      </c>
      <c r="P31">
        <v>93.52</v>
      </c>
      <c r="R31" s="7"/>
    </row>
    <row r="32" spans="1:18" x14ac:dyDescent="0.25">
      <c r="A32">
        <v>20</v>
      </c>
      <c r="B32" t="s">
        <v>230</v>
      </c>
      <c r="C32">
        <v>175</v>
      </c>
      <c r="D32">
        <v>10</v>
      </c>
      <c r="E32">
        <v>40</v>
      </c>
      <c r="G32">
        <v>20</v>
      </c>
      <c r="H32" t="s">
        <v>230</v>
      </c>
      <c r="I32">
        <v>175</v>
      </c>
      <c r="J32">
        <v>10</v>
      </c>
      <c r="M32">
        <v>20</v>
      </c>
      <c r="N32" t="s">
        <v>230</v>
      </c>
      <c r="O32">
        <v>160</v>
      </c>
      <c r="P32">
        <v>5</v>
      </c>
      <c r="Q32">
        <v>20</v>
      </c>
      <c r="R32" s="7"/>
    </row>
    <row r="33" spans="1:18" x14ac:dyDescent="0.25">
      <c r="A33">
        <v>21</v>
      </c>
      <c r="B33" t="s">
        <v>231</v>
      </c>
      <c r="C33">
        <v>250</v>
      </c>
      <c r="D33">
        <v>10</v>
      </c>
      <c r="E33">
        <f>SUM(E29:E32)</f>
        <v>50</v>
      </c>
      <c r="G33">
        <v>21</v>
      </c>
      <c r="H33" t="s">
        <v>231</v>
      </c>
      <c r="I33">
        <v>250</v>
      </c>
      <c r="J33">
        <v>10</v>
      </c>
      <c r="M33">
        <v>21</v>
      </c>
      <c r="N33" t="s">
        <v>231</v>
      </c>
      <c r="O33">
        <v>235</v>
      </c>
      <c r="P33">
        <v>40</v>
      </c>
      <c r="R33" s="7"/>
    </row>
    <row r="34" spans="1:18" x14ac:dyDescent="0.25">
      <c r="C34">
        <f>SUM(C27:C33)</f>
        <v>1325</v>
      </c>
      <c r="D34">
        <f>SUM(D27:D33)</f>
        <v>218.51999999999998</v>
      </c>
      <c r="I34">
        <f>SUM(I27:I33)</f>
        <v>1975</v>
      </c>
      <c r="J34">
        <f>SUM(J27:J33)</f>
        <v>228.51999999999998</v>
      </c>
      <c r="K34">
        <f>SUM(K28:K33)</f>
        <v>55</v>
      </c>
      <c r="O34">
        <f>SUM(O27:O33)</f>
        <v>1360</v>
      </c>
      <c r="P34">
        <f>SUM(P27:P33)</f>
        <v>228.51999999999998</v>
      </c>
      <c r="Q34">
        <f>SUM(Q29:Q33)</f>
        <v>45</v>
      </c>
      <c r="R34" s="7"/>
    </row>
    <row r="35" spans="1:18" x14ac:dyDescent="0.25">
      <c r="B35" t="s">
        <v>237</v>
      </c>
      <c r="C35">
        <v>2734</v>
      </c>
      <c r="D35">
        <v>2734</v>
      </c>
      <c r="E35">
        <v>2734</v>
      </c>
      <c r="I35">
        <v>2734</v>
      </c>
      <c r="J35">
        <v>2734</v>
      </c>
      <c r="K35">
        <v>2734</v>
      </c>
      <c r="O35">
        <v>2734</v>
      </c>
      <c r="P35">
        <v>2734</v>
      </c>
      <c r="Q35">
        <v>2734</v>
      </c>
      <c r="R35" s="7"/>
    </row>
    <row r="36" spans="1:18" x14ac:dyDescent="0.25">
      <c r="B36" s="7" t="s">
        <v>235</v>
      </c>
      <c r="C36" s="7">
        <f>C35*C34</f>
        <v>3622550</v>
      </c>
      <c r="D36" s="7">
        <f>D35*D34</f>
        <v>597433.67999999993</v>
      </c>
      <c r="E36">
        <f>+E33*D35</f>
        <v>136700</v>
      </c>
      <c r="H36" s="7" t="s">
        <v>235</v>
      </c>
      <c r="I36" s="7">
        <f>+I35*I34</f>
        <v>5399650</v>
      </c>
      <c r="J36" s="7">
        <f>+J35*J34</f>
        <v>624773.67999999993</v>
      </c>
      <c r="K36" s="7">
        <f>+K35*K34</f>
        <v>150370</v>
      </c>
      <c r="L36" s="7"/>
      <c r="N36" s="7" t="s">
        <v>235</v>
      </c>
      <c r="O36" s="9">
        <f>+O35*O34</f>
        <v>3718240</v>
      </c>
      <c r="P36" s="9">
        <f>+P35*P34</f>
        <v>624773.67999999993</v>
      </c>
      <c r="Q36" s="9">
        <f>+Q34*P35</f>
        <v>123030</v>
      </c>
      <c r="R36" s="39">
        <f>+O36+P36+Q36+K36+J36+I36+E36+D36+C36</f>
        <v>14997521.039999999</v>
      </c>
    </row>
    <row r="37" spans="1:18" x14ac:dyDescent="0.25">
      <c r="B37" t="s">
        <v>239</v>
      </c>
      <c r="H37" t="s">
        <v>239</v>
      </c>
      <c r="N37" t="s">
        <v>239</v>
      </c>
      <c r="R37" s="7"/>
    </row>
    <row r="38" spans="1:18" x14ac:dyDescent="0.25">
      <c r="A38">
        <v>22</v>
      </c>
      <c r="B38" t="s">
        <v>224</v>
      </c>
      <c r="C38">
        <v>405</v>
      </c>
      <c r="D38">
        <v>50</v>
      </c>
      <c r="G38">
        <v>22</v>
      </c>
      <c r="H38" t="s">
        <v>224</v>
      </c>
      <c r="I38">
        <v>405</v>
      </c>
      <c r="J38">
        <v>50</v>
      </c>
      <c r="M38">
        <v>22</v>
      </c>
      <c r="N38" t="s">
        <v>224</v>
      </c>
      <c r="O38">
        <v>430</v>
      </c>
      <c r="P38">
        <v>35</v>
      </c>
      <c r="R38" s="7"/>
    </row>
    <row r="39" spans="1:18" x14ac:dyDescent="0.25">
      <c r="A39">
        <v>23</v>
      </c>
      <c r="B39" t="s">
        <v>226</v>
      </c>
      <c r="C39">
        <v>60</v>
      </c>
      <c r="D39">
        <v>35</v>
      </c>
      <c r="G39">
        <v>23</v>
      </c>
      <c r="H39" t="s">
        <v>226</v>
      </c>
      <c r="I39">
        <v>60</v>
      </c>
      <c r="J39">
        <v>35</v>
      </c>
      <c r="M39">
        <v>23</v>
      </c>
      <c r="N39" t="s">
        <v>226</v>
      </c>
      <c r="O39">
        <v>70</v>
      </c>
      <c r="P39">
        <v>70</v>
      </c>
      <c r="Q39">
        <v>20</v>
      </c>
      <c r="R39" s="7"/>
    </row>
    <row r="40" spans="1:18" x14ac:dyDescent="0.25">
      <c r="A40">
        <v>24</v>
      </c>
      <c r="B40" t="s">
        <v>227</v>
      </c>
      <c r="C40">
        <v>215</v>
      </c>
      <c r="D40">
        <v>20</v>
      </c>
      <c r="E40">
        <v>15</v>
      </c>
      <c r="G40">
        <v>24</v>
      </c>
      <c r="H40" t="s">
        <v>227</v>
      </c>
      <c r="I40">
        <v>215</v>
      </c>
      <c r="J40">
        <v>20</v>
      </c>
      <c r="K40">
        <v>15</v>
      </c>
      <c r="M40">
        <v>24</v>
      </c>
      <c r="N40" t="s">
        <v>227</v>
      </c>
      <c r="O40">
        <v>236</v>
      </c>
      <c r="P40">
        <v>20</v>
      </c>
      <c r="R40" s="7"/>
    </row>
    <row r="41" spans="1:18" x14ac:dyDescent="0.25">
      <c r="A41">
        <v>25</v>
      </c>
      <c r="B41" t="s">
        <v>228</v>
      </c>
      <c r="C41">
        <v>185</v>
      </c>
      <c r="D41">
        <v>5</v>
      </c>
      <c r="G41">
        <v>25</v>
      </c>
      <c r="H41" t="s">
        <v>228</v>
      </c>
      <c r="I41">
        <v>185</v>
      </c>
      <c r="J41">
        <v>5</v>
      </c>
      <c r="M41">
        <v>25</v>
      </c>
      <c r="N41" t="s">
        <v>228</v>
      </c>
      <c r="O41">
        <v>185</v>
      </c>
      <c r="P41">
        <v>7</v>
      </c>
      <c r="Q41">
        <v>15</v>
      </c>
      <c r="R41" s="7"/>
    </row>
    <row r="42" spans="1:18" x14ac:dyDescent="0.25">
      <c r="A42">
        <v>26</v>
      </c>
      <c r="B42" t="s">
        <v>229</v>
      </c>
      <c r="C42">
        <v>190</v>
      </c>
      <c r="D42">
        <v>93.52</v>
      </c>
      <c r="E42">
        <v>30</v>
      </c>
      <c r="G42">
        <v>26</v>
      </c>
      <c r="H42" t="s">
        <v>229</v>
      </c>
      <c r="I42">
        <v>190</v>
      </c>
      <c r="J42">
        <v>93.52</v>
      </c>
      <c r="K42">
        <v>15</v>
      </c>
      <c r="M42">
        <v>26</v>
      </c>
      <c r="N42" t="s">
        <v>229</v>
      </c>
      <c r="O42">
        <v>200</v>
      </c>
      <c r="P42">
        <v>93.52</v>
      </c>
      <c r="R42" s="7"/>
    </row>
    <row r="43" spans="1:18" x14ac:dyDescent="0.25">
      <c r="A43">
        <v>27</v>
      </c>
      <c r="B43" t="s">
        <v>230</v>
      </c>
      <c r="C43">
        <v>175</v>
      </c>
      <c r="D43">
        <v>10</v>
      </c>
      <c r="G43">
        <v>27</v>
      </c>
      <c r="H43" t="s">
        <v>230</v>
      </c>
      <c r="I43">
        <v>175</v>
      </c>
      <c r="J43">
        <v>10</v>
      </c>
      <c r="M43">
        <v>27</v>
      </c>
      <c r="N43" t="s">
        <v>230</v>
      </c>
      <c r="O43">
        <v>160</v>
      </c>
      <c r="P43">
        <v>10</v>
      </c>
      <c r="Q43">
        <v>10</v>
      </c>
      <c r="R43" s="7"/>
    </row>
    <row r="44" spans="1:18" x14ac:dyDescent="0.25">
      <c r="A44">
        <v>28</v>
      </c>
      <c r="B44" t="s">
        <v>231</v>
      </c>
      <c r="C44">
        <v>250</v>
      </c>
      <c r="D44">
        <v>10</v>
      </c>
      <c r="G44">
        <v>28</v>
      </c>
      <c r="H44" t="s">
        <v>231</v>
      </c>
      <c r="I44">
        <v>250</v>
      </c>
      <c r="J44">
        <v>10</v>
      </c>
      <c r="M44">
        <v>28</v>
      </c>
      <c r="N44" t="s">
        <v>231</v>
      </c>
      <c r="O44">
        <v>350</v>
      </c>
      <c r="P44">
        <v>60</v>
      </c>
      <c r="R44" s="7"/>
    </row>
    <row r="45" spans="1:18" x14ac:dyDescent="0.25">
      <c r="C45">
        <f>SUM(C38:C44)</f>
        <v>1480</v>
      </c>
      <c r="D45">
        <f>SUM(D38:D44)</f>
        <v>223.51999999999998</v>
      </c>
      <c r="E45">
        <f>SUM(E40:E44)</f>
        <v>45</v>
      </c>
      <c r="I45">
        <f>SUM(I38:I44)</f>
        <v>1480</v>
      </c>
      <c r="J45">
        <f>SUM(J38:J44)</f>
        <v>223.51999999999998</v>
      </c>
      <c r="K45">
        <f>SUM(K40:K44)</f>
        <v>30</v>
      </c>
      <c r="O45">
        <f>SUM(O38:O44)</f>
        <v>1631</v>
      </c>
      <c r="P45">
        <f>SUM(P38:P44)</f>
        <v>295.52</v>
      </c>
      <c r="Q45">
        <f>SUM(Q39:Q44)</f>
        <v>45</v>
      </c>
      <c r="R45" s="7"/>
    </row>
    <row r="46" spans="1:18" x14ac:dyDescent="0.25">
      <c r="B46" t="s">
        <v>237</v>
      </c>
      <c r="C46">
        <v>2734</v>
      </c>
      <c r="D46">
        <v>2734</v>
      </c>
      <c r="E46">
        <v>2734</v>
      </c>
      <c r="I46">
        <v>2734</v>
      </c>
      <c r="J46">
        <v>2734</v>
      </c>
      <c r="K46">
        <v>2734</v>
      </c>
      <c r="O46">
        <v>2734</v>
      </c>
      <c r="P46">
        <v>2734</v>
      </c>
      <c r="Q46">
        <v>2734</v>
      </c>
      <c r="R46" s="7"/>
    </row>
    <row r="47" spans="1:18" x14ac:dyDescent="0.25">
      <c r="B47" s="7" t="s">
        <v>235</v>
      </c>
      <c r="C47" s="7">
        <f>C46*C45</f>
        <v>4046320</v>
      </c>
      <c r="D47" s="7">
        <f>D46*D45</f>
        <v>611103.67999999993</v>
      </c>
      <c r="E47" s="7">
        <f>+E45*D46</f>
        <v>123030</v>
      </c>
      <c r="F47" s="7"/>
      <c r="H47" s="7" t="s">
        <v>235</v>
      </c>
      <c r="I47" s="9">
        <f>+I46*I45</f>
        <v>4046320</v>
      </c>
      <c r="J47" s="9">
        <f>+J46*J45</f>
        <v>611103.67999999993</v>
      </c>
      <c r="K47" s="9">
        <f>+K46*K45</f>
        <v>82020</v>
      </c>
      <c r="L47" s="9"/>
      <c r="M47" s="7"/>
      <c r="N47" s="7" t="s">
        <v>235</v>
      </c>
      <c r="O47" s="9">
        <f>+O46*O45</f>
        <v>4459154</v>
      </c>
      <c r="P47" s="9">
        <f>+P46*P45</f>
        <v>807951.67999999993</v>
      </c>
      <c r="Q47" s="9">
        <f>+Q46*Q45</f>
        <v>123030</v>
      </c>
      <c r="R47" s="39">
        <f>+O47+P47+Q47+K47+J47+I47+E47+D47+C47</f>
        <v>14910033.039999999</v>
      </c>
    </row>
    <row r="48" spans="1:18" x14ac:dyDescent="0.25">
      <c r="B48" t="s">
        <v>240</v>
      </c>
      <c r="N48" t="s">
        <v>240</v>
      </c>
      <c r="R48" s="7"/>
    </row>
    <row r="49" spans="1:18" x14ac:dyDescent="0.25">
      <c r="A49">
        <v>29</v>
      </c>
      <c r="B49" t="s">
        <v>224</v>
      </c>
      <c r="C49">
        <v>405</v>
      </c>
      <c r="D49">
        <v>50</v>
      </c>
      <c r="M49">
        <v>29</v>
      </c>
      <c r="N49" t="s">
        <v>224</v>
      </c>
      <c r="O49">
        <v>420</v>
      </c>
      <c r="P49">
        <v>60</v>
      </c>
      <c r="R49" s="7"/>
    </row>
    <row r="50" spans="1:18" x14ac:dyDescent="0.25">
      <c r="A50">
        <v>30</v>
      </c>
      <c r="B50" t="s">
        <v>226</v>
      </c>
      <c r="C50">
        <v>60</v>
      </c>
      <c r="D50">
        <v>35</v>
      </c>
      <c r="E50">
        <v>20</v>
      </c>
      <c r="M50">
        <v>30</v>
      </c>
      <c r="N50" t="s">
        <v>226</v>
      </c>
      <c r="O50">
        <v>40</v>
      </c>
      <c r="P50">
        <v>35</v>
      </c>
      <c r="Q50">
        <v>20</v>
      </c>
      <c r="R50" s="7"/>
    </row>
    <row r="51" spans="1:18" x14ac:dyDescent="0.25">
      <c r="A51">
        <v>31</v>
      </c>
      <c r="B51" t="s">
        <v>241</v>
      </c>
      <c r="C51">
        <v>215</v>
      </c>
      <c r="D51">
        <v>20</v>
      </c>
      <c r="E51">
        <v>10</v>
      </c>
      <c r="M51">
        <v>31</v>
      </c>
      <c r="N51" t="s">
        <v>241</v>
      </c>
      <c r="O51">
        <v>280</v>
      </c>
      <c r="P51">
        <v>20</v>
      </c>
      <c r="R51" s="7"/>
    </row>
    <row r="52" spans="1:18" x14ac:dyDescent="0.25">
      <c r="C52">
        <f>SUM(C49:C51)</f>
        <v>680</v>
      </c>
      <c r="D52">
        <f>SUM(D49:D51)</f>
        <v>105</v>
      </c>
      <c r="E52">
        <f>SUM(E50:E51)</f>
        <v>30</v>
      </c>
      <c r="O52">
        <f>SUM(O49:O51)</f>
        <v>740</v>
      </c>
      <c r="P52">
        <f>SUM(P49:P51)</f>
        <v>115</v>
      </c>
      <c r="Q52">
        <f>SUM(Q50:Q51)</f>
        <v>20</v>
      </c>
      <c r="R52" s="7"/>
    </row>
    <row r="53" spans="1:18" x14ac:dyDescent="0.25">
      <c r="B53" t="s">
        <v>237</v>
      </c>
      <c r="C53">
        <v>2734</v>
      </c>
      <c r="D53">
        <v>2734</v>
      </c>
      <c r="E53">
        <v>2734</v>
      </c>
      <c r="O53">
        <v>2734</v>
      </c>
      <c r="P53">
        <v>2734</v>
      </c>
      <c r="Q53">
        <v>2734</v>
      </c>
      <c r="R53" s="7"/>
    </row>
    <row r="54" spans="1:18" x14ac:dyDescent="0.25">
      <c r="B54" s="7" t="s">
        <v>235</v>
      </c>
      <c r="C54" s="9">
        <f>+C53*C52</f>
        <v>1859120</v>
      </c>
      <c r="D54" s="9">
        <f>+D52*D53</f>
        <v>287070</v>
      </c>
      <c r="E54" s="9">
        <f>+E53*E52</f>
        <v>82020</v>
      </c>
      <c r="F54" s="9"/>
      <c r="N54" s="7" t="s">
        <v>235</v>
      </c>
      <c r="O54" s="9">
        <f>+O53*O52</f>
        <v>2023160</v>
      </c>
      <c r="P54" s="9">
        <f>+P53*P52</f>
        <v>314410</v>
      </c>
      <c r="Q54" s="9">
        <f>+Q53*Q52</f>
        <v>54680</v>
      </c>
      <c r="R54" s="9">
        <f>+O54+P54+Q54+E54+D54+C54</f>
        <v>4620460</v>
      </c>
    </row>
    <row r="55" spans="1:18" s="40" customFormat="1" ht="23.25" x14ac:dyDescent="0.35">
      <c r="C55" s="41">
        <f>+C54+C47+C36+C25+C13</f>
        <v>15788850</v>
      </c>
      <c r="D55" s="41">
        <f>+D54+D47+D36+D25+D13</f>
        <v>2548197.36</v>
      </c>
      <c r="E55" s="41">
        <f>+E54+E47+E36+E25+E13</f>
        <v>587810</v>
      </c>
      <c r="F55" s="41"/>
      <c r="I55" s="41">
        <f>+I47+I36+I25+I13</f>
        <v>21318365</v>
      </c>
      <c r="J55" s="41">
        <f>+J47+J36+J25+J13</f>
        <v>2800709.5999999996</v>
      </c>
      <c r="K55" s="41">
        <f>+K47+K36+K25+K13</f>
        <v>478450</v>
      </c>
      <c r="L55" s="41"/>
      <c r="O55" s="41">
        <f>+O54+O47+O36+O25+O13</f>
        <v>16753952</v>
      </c>
      <c r="P55" s="41">
        <f>+P54+P47+P36+P25+P13</f>
        <v>3182485.36</v>
      </c>
      <c r="Q55" s="41">
        <f>+Q54+Q47+Q36+Q25+Q13</f>
        <v>546800</v>
      </c>
      <c r="R55" s="41">
        <f>+R54+R47+R36+R25+R13</f>
        <v>64005619.32</v>
      </c>
    </row>
    <row r="56" spans="1:18" ht="23.25" x14ac:dyDescent="0.35">
      <c r="B56" s="40"/>
    </row>
    <row r="57" spans="1:18" x14ac:dyDescent="0.25">
      <c r="B57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workbookViewId="0">
      <selection activeCell="F24" sqref="F24"/>
    </sheetView>
  </sheetViews>
  <sheetFormatPr defaultRowHeight="15" x14ac:dyDescent="0.25"/>
  <cols>
    <col min="1" max="1" width="49.28515625" style="87" bestFit="1" customWidth="1"/>
    <col min="2" max="2" width="20" style="87" customWidth="1"/>
    <col min="3" max="3" width="18.7109375" style="87" customWidth="1"/>
    <col min="4" max="4" width="19.140625" style="88" customWidth="1"/>
    <col min="5" max="5" width="20.85546875" style="88" customWidth="1"/>
    <col min="6" max="6" width="19.28515625" style="87" customWidth="1"/>
    <col min="7" max="16384" width="9.140625" style="87"/>
  </cols>
  <sheetData>
    <row r="1" spans="1:6" ht="15.75" x14ac:dyDescent="0.25">
      <c r="A1" s="86" t="s">
        <v>284</v>
      </c>
    </row>
    <row r="2" spans="1:6" x14ac:dyDescent="0.25">
      <c r="A2" s="89" t="s">
        <v>287</v>
      </c>
      <c r="C2" s="90"/>
    </row>
    <row r="3" spans="1:6" x14ac:dyDescent="0.25">
      <c r="B3" s="88"/>
      <c r="C3" s="88"/>
    </row>
    <row r="4" spans="1:6" x14ac:dyDescent="0.25">
      <c r="A4" s="99" t="s">
        <v>28</v>
      </c>
      <c r="B4" s="85"/>
      <c r="C4" s="85"/>
      <c r="D4" s="85"/>
      <c r="E4" s="85"/>
      <c r="F4" s="100"/>
    </row>
    <row r="5" spans="1:6" ht="31.5" x14ac:dyDescent="0.25">
      <c r="A5" s="99" t="s">
        <v>14</v>
      </c>
      <c r="B5" s="101" t="s">
        <v>338</v>
      </c>
      <c r="C5" s="92" t="s">
        <v>334</v>
      </c>
      <c r="D5" s="92" t="s">
        <v>335</v>
      </c>
      <c r="E5" s="92" t="s">
        <v>336</v>
      </c>
      <c r="F5" s="92" t="s">
        <v>337</v>
      </c>
    </row>
    <row r="6" spans="1:6" x14ac:dyDescent="0.25">
      <c r="A6" s="85" t="s">
        <v>306</v>
      </c>
      <c r="B6" s="85">
        <v>8878620300</v>
      </c>
      <c r="C6" s="85">
        <v>556636307.23000002</v>
      </c>
      <c r="D6" s="85">
        <v>574848477.52999997</v>
      </c>
      <c r="E6" s="85">
        <v>374406794.14999998</v>
      </c>
      <c r="F6" s="102">
        <f>+C6+D6+E6</f>
        <v>1505891578.9099998</v>
      </c>
    </row>
    <row r="7" spans="1:6" x14ac:dyDescent="0.25">
      <c r="A7" s="85" t="s">
        <v>307</v>
      </c>
      <c r="B7" s="85">
        <v>830344057</v>
      </c>
      <c r="C7" s="85">
        <v>85337636.5</v>
      </c>
      <c r="D7" s="85">
        <v>74381480</v>
      </c>
      <c r="E7" s="85">
        <v>78753150</v>
      </c>
      <c r="F7" s="102">
        <f t="shared" ref="F7:F8" si="0">+C7+D7+E7</f>
        <v>238472266.5</v>
      </c>
    </row>
    <row r="8" spans="1:6" x14ac:dyDescent="0.25">
      <c r="A8" s="85" t="s">
        <v>308</v>
      </c>
      <c r="B8" s="85">
        <v>4747811840</v>
      </c>
      <c r="C8" s="85">
        <v>99185434.540000007</v>
      </c>
      <c r="D8" s="85">
        <v>102976747.77</v>
      </c>
      <c r="E8" s="85">
        <v>108744352.93000001</v>
      </c>
      <c r="F8" s="102">
        <f t="shared" si="0"/>
        <v>310906535.24000001</v>
      </c>
    </row>
    <row r="9" spans="1:6" x14ac:dyDescent="0.25">
      <c r="A9" s="85" t="s">
        <v>309</v>
      </c>
      <c r="B9" s="85">
        <v>1695850000</v>
      </c>
      <c r="C9" s="85">
        <v>557008777.30999994</v>
      </c>
      <c r="D9" s="85">
        <v>149539000</v>
      </c>
      <c r="E9" s="85">
        <v>143116500</v>
      </c>
      <c r="F9" s="102">
        <f>+C9+D9+E9</f>
        <v>849664277.30999994</v>
      </c>
    </row>
    <row r="10" spans="1:6" x14ac:dyDescent="0.25">
      <c r="A10" s="99" t="s">
        <v>21</v>
      </c>
      <c r="B10" s="103">
        <f>SUM(B6:B9)</f>
        <v>16152626197</v>
      </c>
      <c r="C10" s="103">
        <f>SUM(C6:C9)</f>
        <v>1298168155.5799999</v>
      </c>
      <c r="D10" s="99">
        <f>SUM(D6:D9)</f>
        <v>901745705.29999995</v>
      </c>
      <c r="E10" s="99">
        <f>SUM(E6:E9)</f>
        <v>705020797.07999992</v>
      </c>
      <c r="F10" s="103">
        <f t="shared" ref="F10" si="1">+C10+D10</f>
        <v>2199913860.8800001</v>
      </c>
    </row>
    <row r="11" spans="1:6" x14ac:dyDescent="0.25">
      <c r="A11" s="104"/>
      <c r="B11" s="105"/>
      <c r="C11" s="105"/>
      <c r="D11" s="104"/>
      <c r="E11" s="104"/>
      <c r="F11" s="105"/>
    </row>
    <row r="12" spans="1:6" x14ac:dyDescent="0.25">
      <c r="A12" s="106" t="s">
        <v>22</v>
      </c>
      <c r="B12" s="88"/>
      <c r="C12" s="88"/>
    </row>
    <row r="13" spans="1:6" s="89" customFormat="1" ht="31.5" x14ac:dyDescent="0.25">
      <c r="A13" s="99" t="s">
        <v>14</v>
      </c>
      <c r="B13" s="101" t="s">
        <v>338</v>
      </c>
      <c r="C13" s="92" t="s">
        <v>326</v>
      </c>
      <c r="D13" s="92" t="s">
        <v>327</v>
      </c>
      <c r="E13" s="92" t="s">
        <v>328</v>
      </c>
      <c r="F13" s="92" t="s">
        <v>329</v>
      </c>
    </row>
    <row r="14" spans="1:6" x14ac:dyDescent="0.25">
      <c r="A14" s="85" t="s">
        <v>23</v>
      </c>
      <c r="B14" s="85">
        <v>5482068965</v>
      </c>
      <c r="C14" s="85">
        <v>0</v>
      </c>
      <c r="D14" s="107"/>
      <c r="E14" s="85">
        <v>155172413.80000001</v>
      </c>
      <c r="F14" s="85">
        <f>C14+D14+E14</f>
        <v>155172413.80000001</v>
      </c>
    </row>
    <row r="15" spans="1:6" x14ac:dyDescent="0.25">
      <c r="A15" s="85" t="s">
        <v>24</v>
      </c>
      <c r="B15" s="85">
        <v>1600000000</v>
      </c>
      <c r="C15" s="85">
        <v>0</v>
      </c>
      <c r="D15" s="107"/>
      <c r="E15" s="85">
        <v>0</v>
      </c>
      <c r="F15" s="85">
        <f t="shared" ref="F15:F19" si="2">C15+D15+E15</f>
        <v>0</v>
      </c>
    </row>
    <row r="16" spans="1:6" x14ac:dyDescent="0.25">
      <c r="A16" s="85" t="s">
        <v>25</v>
      </c>
      <c r="B16" s="85">
        <v>225381611</v>
      </c>
      <c r="C16" s="85">
        <v>0</v>
      </c>
      <c r="D16" s="85">
        <v>56345403</v>
      </c>
      <c r="E16" s="85"/>
      <c r="F16" s="85">
        <f t="shared" si="2"/>
        <v>56345403</v>
      </c>
    </row>
    <row r="17" spans="1:6" x14ac:dyDescent="0.25">
      <c r="A17" s="85" t="s">
        <v>26</v>
      </c>
      <c r="B17" s="85">
        <v>261401498</v>
      </c>
      <c r="C17" s="85">
        <v>0</v>
      </c>
      <c r="D17" s="85">
        <v>18333458</v>
      </c>
      <c r="E17" s="85">
        <v>36666916.299999997</v>
      </c>
      <c r="F17" s="85">
        <f t="shared" si="2"/>
        <v>55000374.299999997</v>
      </c>
    </row>
    <row r="18" spans="1:6" x14ac:dyDescent="0.25">
      <c r="A18" s="85" t="s">
        <v>27</v>
      </c>
      <c r="B18" s="85">
        <v>96000000</v>
      </c>
      <c r="C18" s="85"/>
      <c r="D18" s="85">
        <v>24000000</v>
      </c>
      <c r="E18" s="85"/>
      <c r="F18" s="85">
        <f t="shared" si="2"/>
        <v>24000000</v>
      </c>
    </row>
    <row r="19" spans="1:6" x14ac:dyDescent="0.25">
      <c r="A19" s="85" t="s">
        <v>301</v>
      </c>
      <c r="B19" s="85"/>
      <c r="C19" s="85"/>
      <c r="D19" s="85"/>
      <c r="E19" s="85">
        <v>136694225.90000001</v>
      </c>
      <c r="F19" s="85">
        <f t="shared" si="2"/>
        <v>136694225.90000001</v>
      </c>
    </row>
    <row r="20" spans="1:6" s="89" customFormat="1" ht="14.25" x14ac:dyDescent="0.2">
      <c r="A20" s="99" t="s">
        <v>21</v>
      </c>
      <c r="B20" s="99">
        <f>SUM(B14:B19)</f>
        <v>7664852074</v>
      </c>
      <c r="C20" s="99">
        <f t="shared" ref="C20:E20" si="3">SUM(C14:C19)</f>
        <v>0</v>
      </c>
      <c r="D20" s="99">
        <f t="shared" si="3"/>
        <v>98678861</v>
      </c>
      <c r="E20" s="99">
        <f t="shared" si="3"/>
        <v>328533556</v>
      </c>
      <c r="F20" s="99">
        <f>SUM(F14:F18)</f>
        <v>290518191.10000002</v>
      </c>
    </row>
    <row r="22" spans="1:6" s="89" customFormat="1" ht="14.25" x14ac:dyDescent="0.2">
      <c r="A22" s="89" t="s">
        <v>330</v>
      </c>
      <c r="D22" s="106"/>
      <c r="E22" s="106"/>
    </row>
    <row r="23" spans="1:6" s="89" customFormat="1" ht="36" customHeight="1" x14ac:dyDescent="0.25">
      <c r="A23" s="91" t="s">
        <v>1</v>
      </c>
      <c r="B23" s="101" t="s">
        <v>338</v>
      </c>
      <c r="C23" s="92" t="s">
        <v>302</v>
      </c>
      <c r="D23" s="92" t="s">
        <v>303</v>
      </c>
      <c r="E23" s="92" t="s">
        <v>304</v>
      </c>
      <c r="F23" s="92" t="s">
        <v>305</v>
      </c>
    </row>
    <row r="24" spans="1:6" ht="15.75" x14ac:dyDescent="0.25">
      <c r="A24" s="93" t="s">
        <v>74</v>
      </c>
      <c r="B24" s="94">
        <f>+C24*12</f>
        <v>769085163.36000001</v>
      </c>
      <c r="C24" s="94">
        <f>+Sheet3!B37+18630000-1000000</f>
        <v>64090430.280000001</v>
      </c>
      <c r="D24" s="94">
        <f>46460430.28+18630000</f>
        <v>65090430.280000001</v>
      </c>
      <c r="E24" s="94">
        <f>25165685.3+Sheet3!F30</f>
        <v>73751495.299999997</v>
      </c>
      <c r="F24" s="95">
        <f>+C24+D24+E24</f>
        <v>202932355.86000001</v>
      </c>
    </row>
    <row r="25" spans="1:6" ht="15.75" x14ac:dyDescent="0.25">
      <c r="A25" s="93" t="s">
        <v>4</v>
      </c>
      <c r="B25" s="94">
        <f>+C25*12+(Sheet3!E60)</f>
        <v>461909291.43999994</v>
      </c>
      <c r="C25" s="94">
        <f>+Sheet3!B31+Sheet3!E64</f>
        <v>32159107.619999997</v>
      </c>
      <c r="D25" s="94">
        <f>31387244.74+18247943.84+Sheet3!E64</f>
        <v>50407051.460000001</v>
      </c>
      <c r="E25" s="94">
        <f>49912753.59</f>
        <v>49912753.590000004</v>
      </c>
      <c r="F25" s="95">
        <f t="shared" ref="F25:F34" si="4">+C25+D25+E25</f>
        <v>132478912.67</v>
      </c>
    </row>
    <row r="26" spans="1:6" ht="15.75" x14ac:dyDescent="0.25">
      <c r="A26" s="93" t="s">
        <v>5</v>
      </c>
      <c r="B26" s="94">
        <f t="shared" ref="B26:B33" si="5">+C26*12</f>
        <v>372233815.31999999</v>
      </c>
      <c r="C26" s="96">
        <f>+Sheet3!B34+10800000</f>
        <v>31019484.609999999</v>
      </c>
      <c r="D26" s="94">
        <f>+C26+146105</f>
        <v>31165589.609999999</v>
      </c>
      <c r="E26" s="94">
        <f>34034517.7+2887500</f>
        <v>36922017.700000003</v>
      </c>
      <c r="F26" s="95">
        <f t="shared" si="4"/>
        <v>99107091.920000002</v>
      </c>
    </row>
    <row r="27" spans="1:6" ht="15.75" x14ac:dyDescent="0.25">
      <c r="A27" s="93" t="s">
        <v>300</v>
      </c>
      <c r="B27" s="94">
        <v>467075193</v>
      </c>
      <c r="C27" s="96">
        <f>+Sheet3!E63</f>
        <v>35928861</v>
      </c>
      <c r="D27" s="94">
        <f>+C27+658142</f>
        <v>36587003</v>
      </c>
      <c r="E27" s="94">
        <v>35928861</v>
      </c>
      <c r="F27" s="95">
        <f t="shared" si="4"/>
        <v>108444725</v>
      </c>
    </row>
    <row r="28" spans="1:6" ht="15.75" x14ac:dyDescent="0.25">
      <c r="A28" s="93" t="s">
        <v>7</v>
      </c>
      <c r="B28" s="94">
        <f t="shared" si="5"/>
        <v>64373770.079999998</v>
      </c>
      <c r="C28" s="94">
        <f>+Sheet3!B32</f>
        <v>5364480.84</v>
      </c>
      <c r="D28" s="94">
        <f>5364480.84+142501</f>
        <v>5506981.8399999999</v>
      </c>
      <c r="E28" s="94">
        <v>6785606.4000000004</v>
      </c>
      <c r="F28" s="95">
        <f t="shared" si="4"/>
        <v>17657069.079999998</v>
      </c>
    </row>
    <row r="29" spans="1:6" ht="15.75" x14ac:dyDescent="0.25">
      <c r="A29" s="93" t="s">
        <v>13</v>
      </c>
      <c r="B29" s="94">
        <f>+Sheet3!E55</f>
        <v>76800000</v>
      </c>
      <c r="C29" s="94">
        <v>0</v>
      </c>
      <c r="D29" s="94">
        <f>500000+500000+71900+1800000+650000+800000</f>
        <v>4321900</v>
      </c>
      <c r="E29" s="94">
        <f>47933920.37</f>
        <v>47933920.369999997</v>
      </c>
      <c r="F29" s="95">
        <f t="shared" si="4"/>
        <v>52255820.369999997</v>
      </c>
    </row>
    <row r="30" spans="1:6" ht="15.75" x14ac:dyDescent="0.25">
      <c r="A30" s="93" t="s">
        <v>8</v>
      </c>
      <c r="B30" s="94">
        <f>86978401+43107660+43319371</f>
        <v>173405432</v>
      </c>
      <c r="C30" s="94">
        <v>6730400</v>
      </c>
      <c r="D30" s="94">
        <v>0</v>
      </c>
      <c r="E30" s="94">
        <v>0</v>
      </c>
      <c r="F30" s="95">
        <f t="shared" si="4"/>
        <v>6730400</v>
      </c>
    </row>
    <row r="31" spans="1:6" ht="15.75" x14ac:dyDescent="0.25">
      <c r="A31" s="93" t="s">
        <v>9</v>
      </c>
      <c r="B31" s="94">
        <v>15415075</v>
      </c>
      <c r="C31" s="94">
        <v>0</v>
      </c>
      <c r="D31" s="94">
        <v>0</v>
      </c>
      <c r="E31" s="94">
        <v>750300</v>
      </c>
      <c r="F31" s="95">
        <f t="shared" si="4"/>
        <v>750300</v>
      </c>
    </row>
    <row r="32" spans="1:6" ht="15.75" x14ac:dyDescent="0.25">
      <c r="A32" s="93" t="s">
        <v>10</v>
      </c>
      <c r="B32" s="94">
        <f t="shared" si="5"/>
        <v>102001951.19999999</v>
      </c>
      <c r="C32" s="94">
        <f>+Sheet3!B36</f>
        <v>8500162.5999999996</v>
      </c>
      <c r="D32" s="94">
        <v>8500162.5999999996</v>
      </c>
      <c r="E32" s="94">
        <f>7623442.1+550000</f>
        <v>8173442.0999999996</v>
      </c>
      <c r="F32" s="95">
        <f t="shared" si="4"/>
        <v>25173767.299999997</v>
      </c>
    </row>
    <row r="33" spans="1:6" ht="15.75" x14ac:dyDescent="0.25">
      <c r="A33" s="93" t="s">
        <v>11</v>
      </c>
      <c r="B33" s="94">
        <f t="shared" si="5"/>
        <v>209708515.68000001</v>
      </c>
      <c r="C33" s="94">
        <f>+Sheet3!B35+5670000</f>
        <v>17475709.640000001</v>
      </c>
      <c r="D33" s="94">
        <f>+C33</f>
        <v>17475709.640000001</v>
      </c>
      <c r="E33" s="94">
        <f>14295268.8+2750000</f>
        <v>17045268.800000001</v>
      </c>
      <c r="F33" s="95">
        <f t="shared" si="4"/>
        <v>51996688.079999998</v>
      </c>
    </row>
    <row r="34" spans="1:6" ht="15.75" x14ac:dyDescent="0.25">
      <c r="A34" s="93" t="s">
        <v>12</v>
      </c>
      <c r="B34" s="94">
        <f>+C34*12</f>
        <v>148492308.35999998</v>
      </c>
      <c r="C34" s="97">
        <f>+Sheet3!B33+4770000</f>
        <v>12374359.029999999</v>
      </c>
      <c r="D34" s="94">
        <f>+C34</f>
        <v>12374359.029999999</v>
      </c>
      <c r="E34" s="94">
        <f>6366493.7+1437500</f>
        <v>7803993.7000000002</v>
      </c>
      <c r="F34" s="95">
        <f t="shared" si="4"/>
        <v>32552711.759999998</v>
      </c>
    </row>
    <row r="35" spans="1:6" s="89" customFormat="1" ht="15.75" x14ac:dyDescent="0.25">
      <c r="A35" s="91" t="s">
        <v>21</v>
      </c>
      <c r="B35" s="98">
        <f>SUM(B24:B34)</f>
        <v>2860500515.4399996</v>
      </c>
      <c r="C35" s="98">
        <f t="shared" ref="C35:F35" si="6">SUM(C24:C34)</f>
        <v>213642995.61999997</v>
      </c>
      <c r="D35" s="98">
        <f t="shared" si="6"/>
        <v>231429187.46000001</v>
      </c>
      <c r="E35" s="98">
        <f t="shared" si="6"/>
        <v>285007658.95999998</v>
      </c>
      <c r="F35" s="98">
        <f t="shared" si="6"/>
        <v>730079842.04000008</v>
      </c>
    </row>
    <row r="37" spans="1:6" x14ac:dyDescent="0.25">
      <c r="A37" s="106" t="s">
        <v>331</v>
      </c>
      <c r="B37" s="88"/>
      <c r="C37" s="88"/>
    </row>
    <row r="38" spans="1:6" x14ac:dyDescent="0.25">
      <c r="A38" s="131" t="s">
        <v>1</v>
      </c>
      <c r="B38" s="132"/>
      <c r="C38" s="133"/>
      <c r="D38" s="101" t="s">
        <v>3</v>
      </c>
    </row>
    <row r="39" spans="1:6" x14ac:dyDescent="0.25">
      <c r="A39" s="125" t="s">
        <v>35</v>
      </c>
      <c r="B39" s="126"/>
      <c r="C39" s="127"/>
      <c r="D39" s="85">
        <v>1375922853.9000001</v>
      </c>
    </row>
    <row r="40" spans="1:6" x14ac:dyDescent="0.25">
      <c r="A40" s="125" t="s">
        <v>38</v>
      </c>
      <c r="B40" s="126"/>
      <c r="C40" s="127"/>
      <c r="D40" s="85">
        <v>1000000000</v>
      </c>
    </row>
    <row r="41" spans="1:6" x14ac:dyDescent="0.25">
      <c r="A41" s="125" t="s">
        <v>60</v>
      </c>
      <c r="B41" s="126"/>
      <c r="C41" s="127"/>
      <c r="D41" s="85">
        <v>1415757289.0999999</v>
      </c>
    </row>
    <row r="42" spans="1:6" x14ac:dyDescent="0.25">
      <c r="A42" s="125" t="s">
        <v>325</v>
      </c>
      <c r="B42" s="126"/>
      <c r="C42" s="127"/>
      <c r="D42" s="85">
        <v>2568195407.3299999</v>
      </c>
    </row>
    <row r="43" spans="1:6" x14ac:dyDescent="0.25">
      <c r="A43" s="128" t="s">
        <v>322</v>
      </c>
      <c r="B43" s="129"/>
      <c r="C43" s="130"/>
      <c r="D43" s="99">
        <f>SUM(D39:D42)</f>
        <v>6359875550.3299999</v>
      </c>
    </row>
    <row r="45" spans="1:6" x14ac:dyDescent="0.25">
      <c r="A45" s="89" t="s">
        <v>332</v>
      </c>
    </row>
    <row r="46" spans="1:6" ht="15.75" x14ac:dyDescent="0.25">
      <c r="A46" s="122" t="s">
        <v>1</v>
      </c>
      <c r="B46" s="123"/>
      <c r="C46" s="124"/>
      <c r="D46" s="112" t="s">
        <v>3</v>
      </c>
    </row>
    <row r="47" spans="1:6" ht="15.75" x14ac:dyDescent="0.25">
      <c r="A47" s="119" t="s">
        <v>323</v>
      </c>
      <c r="B47" s="120"/>
      <c r="C47" s="121"/>
      <c r="D47" s="85">
        <v>173376420</v>
      </c>
    </row>
    <row r="48" spans="1:6" ht="15.75" x14ac:dyDescent="0.25">
      <c r="A48" s="119" t="s">
        <v>324</v>
      </c>
      <c r="B48" s="120"/>
      <c r="C48" s="121"/>
      <c r="D48" s="85">
        <f>(D47-D49)*-1</f>
        <v>52005191</v>
      </c>
    </row>
    <row r="49" spans="1:5" s="89" customFormat="1" ht="15.75" x14ac:dyDescent="0.25">
      <c r="A49" s="134" t="s">
        <v>322</v>
      </c>
      <c r="B49" s="135"/>
      <c r="C49" s="136"/>
      <c r="D49" s="99">
        <v>225381611</v>
      </c>
      <c r="E49" s="106"/>
    </row>
    <row r="51" spans="1:5" x14ac:dyDescent="0.25">
      <c r="A51" s="108" t="s">
        <v>333</v>
      </c>
      <c r="B51" s="109"/>
    </row>
    <row r="52" spans="1:5" ht="15.75" x14ac:dyDescent="0.25">
      <c r="A52" s="116" t="s">
        <v>310</v>
      </c>
      <c r="B52" s="117"/>
      <c r="C52" s="118"/>
      <c r="D52" s="112" t="s">
        <v>3</v>
      </c>
    </row>
    <row r="53" spans="1:5" x14ac:dyDescent="0.25">
      <c r="A53" s="113" t="s">
        <v>311</v>
      </c>
      <c r="B53" s="114"/>
      <c r="C53" s="115"/>
      <c r="D53" s="110">
        <v>135431205</v>
      </c>
    </row>
    <row r="54" spans="1:5" x14ac:dyDescent="0.25">
      <c r="A54" s="113" t="s">
        <v>312</v>
      </c>
      <c r="B54" s="114"/>
      <c r="C54" s="115"/>
      <c r="D54" s="110">
        <v>121977161.25</v>
      </c>
    </row>
    <row r="55" spans="1:5" x14ac:dyDescent="0.25">
      <c r="A55" s="113" t="s">
        <v>313</v>
      </c>
      <c r="B55" s="114"/>
      <c r="C55" s="115"/>
      <c r="D55" s="110">
        <v>118277145</v>
      </c>
    </row>
    <row r="56" spans="1:5" x14ac:dyDescent="0.25">
      <c r="A56" s="113" t="s">
        <v>314</v>
      </c>
      <c r="B56" s="114"/>
      <c r="C56" s="115"/>
      <c r="D56" s="110">
        <v>117529492.5</v>
      </c>
    </row>
    <row r="57" spans="1:5" x14ac:dyDescent="0.25">
      <c r="A57" s="113" t="s">
        <v>315</v>
      </c>
      <c r="B57" s="114"/>
      <c r="C57" s="115"/>
      <c r="D57" s="110">
        <v>80346735</v>
      </c>
    </row>
    <row r="58" spans="1:5" x14ac:dyDescent="0.25">
      <c r="A58" s="113" t="s">
        <v>316</v>
      </c>
      <c r="B58" s="114"/>
      <c r="C58" s="115"/>
      <c r="D58" s="110">
        <v>113827008.75</v>
      </c>
    </row>
    <row r="59" spans="1:5" x14ac:dyDescent="0.25">
      <c r="A59" s="113" t="s">
        <v>317</v>
      </c>
      <c r="B59" s="114"/>
      <c r="C59" s="115"/>
      <c r="D59" s="110">
        <v>134448399.75</v>
      </c>
    </row>
    <row r="60" spans="1:5" x14ac:dyDescent="0.25">
      <c r="A60" s="113" t="s">
        <v>318</v>
      </c>
      <c r="B60" s="114"/>
      <c r="C60" s="115"/>
      <c r="D60" s="110">
        <v>116595543.75</v>
      </c>
    </row>
    <row r="61" spans="1:5" x14ac:dyDescent="0.25">
      <c r="A61" s="113" t="s">
        <v>319</v>
      </c>
      <c r="B61" s="114"/>
      <c r="C61" s="115"/>
      <c r="D61" s="110">
        <v>78204945</v>
      </c>
    </row>
    <row r="62" spans="1:5" x14ac:dyDescent="0.25">
      <c r="A62" s="113" t="s">
        <v>320</v>
      </c>
      <c r="B62" s="114"/>
      <c r="C62" s="115"/>
      <c r="D62" s="110">
        <v>75868222.5</v>
      </c>
    </row>
    <row r="63" spans="1:5" x14ac:dyDescent="0.25">
      <c r="A63" s="113" t="s">
        <v>321</v>
      </c>
      <c r="B63" s="114"/>
      <c r="C63" s="115"/>
      <c r="D63" s="110">
        <v>2568195407.3299999</v>
      </c>
    </row>
    <row r="64" spans="1:5" x14ac:dyDescent="0.25">
      <c r="A64" s="116" t="s">
        <v>322</v>
      </c>
      <c r="B64" s="117"/>
      <c r="C64" s="118"/>
      <c r="D64" s="111">
        <f>SUM(D53:D63)</f>
        <v>3660701265.8299999</v>
      </c>
    </row>
  </sheetData>
  <mergeCells count="1">
    <mergeCell ref="A49:C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fire</vt:lpstr>
      <vt:lpstr>Sheet2</vt:lpstr>
      <vt:lpstr>Sheet3</vt:lpstr>
      <vt:lpstr>Sheet1</vt:lpstr>
      <vt:lpstr>2024-2025 SERVICE FUEL</vt:lpstr>
      <vt:lpstr>April-June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BCC_BUDGET</dc:creator>
  <cp:lastModifiedBy>HP Inc.</cp:lastModifiedBy>
  <dcterms:created xsi:type="dcterms:W3CDTF">2024-04-22T11:58:57Z</dcterms:created>
  <dcterms:modified xsi:type="dcterms:W3CDTF">2024-10-14T09:40:50Z</dcterms:modified>
</cp:coreProperties>
</file>